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2haus\Documents\"/>
    </mc:Choice>
  </mc:AlternateContent>
  <bookViews>
    <workbookView xWindow="120" yWindow="132" windowWidth="9420" windowHeight="3948" tabRatio="599" firstSheet="3" activeTab="4"/>
  </bookViews>
  <sheets>
    <sheet name="3.1 Work Zone Analysis" sheetId="13" r:id="rId1"/>
    <sheet name="3.2 Queue Delay" sheetId="2" r:id="rId2"/>
    <sheet name="3.3 Work Zone &amp; Circuity Delays" sheetId="3" r:id="rId3"/>
    <sheet name="3.4 Escalation &amp; Cost Rates" sheetId="4" r:id="rId4"/>
    <sheet name="3.5 Road User Costs" sheetId="5" r:id="rId5"/>
  </sheets>
  <definedNames>
    <definedName name="_xlnm.Print_Area" localSheetId="2">'3.3 Work Zone &amp; Circuity Delays'!$A$1:$AD$32</definedName>
    <definedName name="_xlnm.Print_Area" localSheetId="4">'3.5 Road User Costs'!$A$1:$J$25</definedName>
  </definedNames>
  <calcPr calcId="152511" iterate="1"/>
</workbook>
</file>

<file path=xl/calcChain.xml><?xml version="1.0" encoding="utf-8"?>
<calcChain xmlns="http://schemas.openxmlformats.org/spreadsheetml/2006/main">
  <c r="U5" i="3" l="1"/>
  <c r="U19" i="3" l="1"/>
  <c r="Q19" i="3"/>
  <c r="Z19" i="3" l="1"/>
  <c r="I19" i="3"/>
  <c r="J19" i="5" l="1"/>
  <c r="X9" i="2"/>
  <c r="X8" i="2"/>
  <c r="X7" i="2"/>
  <c r="AH9" i="2"/>
  <c r="K9" i="2"/>
  <c r="F9" i="2"/>
  <c r="AH8" i="2"/>
  <c r="K8" i="2"/>
  <c r="F8" i="2"/>
  <c r="AH7" i="2"/>
  <c r="K7" i="2"/>
  <c r="F7" i="2"/>
  <c r="F6" i="2"/>
  <c r="K6" i="2"/>
  <c r="AH6" i="2"/>
  <c r="K5" i="2"/>
  <c r="F5" i="2"/>
  <c r="J23" i="5"/>
  <c r="V35" i="4"/>
  <c r="Z30" i="3"/>
  <c r="AF28" i="2"/>
  <c r="P8" i="2" l="1"/>
  <c r="S8" i="2" s="1"/>
  <c r="P7" i="2"/>
  <c r="S7" i="2" s="1"/>
  <c r="P9" i="2"/>
  <c r="S9" i="2" s="1"/>
  <c r="B18" i="2" l="1"/>
  <c r="F18" i="2" s="1"/>
  <c r="B16" i="2"/>
  <c r="F16" i="2" s="1"/>
  <c r="Q16" i="2" s="1"/>
  <c r="B17" i="2"/>
  <c r="F17" i="2" s="1"/>
  <c r="K5" i="3"/>
  <c r="P5" i="3" s="1"/>
  <c r="X6" i="2"/>
  <c r="X5" i="2"/>
  <c r="AH5" i="2"/>
  <c r="D32" i="13"/>
  <c r="G32" i="13" s="1"/>
  <c r="D31" i="13"/>
  <c r="G31" i="13" s="1"/>
  <c r="D30" i="13"/>
  <c r="G30" i="13" s="1"/>
  <c r="D29" i="13"/>
  <c r="G29" i="13" s="1"/>
  <c r="D28" i="13"/>
  <c r="G28" i="13" s="1"/>
  <c r="D27" i="13"/>
  <c r="G27" i="13" s="1"/>
  <c r="D26" i="13"/>
  <c r="G26" i="13" s="1"/>
  <c r="D25" i="13"/>
  <c r="G25" i="13" s="1"/>
  <c r="D24" i="13"/>
  <c r="G24" i="13" s="1"/>
  <c r="D23" i="13"/>
  <c r="G23" i="13" s="1"/>
  <c r="D22" i="13"/>
  <c r="G22" i="13" s="1"/>
  <c r="D21" i="13"/>
  <c r="G21" i="13" s="1"/>
  <c r="D20" i="13"/>
  <c r="G20" i="13" s="1"/>
  <c r="D19" i="13"/>
  <c r="G19" i="13" s="1"/>
  <c r="D18" i="13"/>
  <c r="G18" i="13" s="1"/>
  <c r="D17" i="13"/>
  <c r="G17" i="13" s="1"/>
  <c r="D16" i="13"/>
  <c r="G16" i="13" s="1"/>
  <c r="D15" i="13"/>
  <c r="G15" i="13" s="1"/>
  <c r="D14" i="13"/>
  <c r="G14" i="13" s="1"/>
  <c r="D13" i="13"/>
  <c r="G13" i="13" s="1"/>
  <c r="D12" i="13"/>
  <c r="G12" i="13" s="1"/>
  <c r="D11" i="13"/>
  <c r="G11" i="13" s="1"/>
  <c r="D10" i="13"/>
  <c r="G10" i="13" s="1"/>
  <c r="D9" i="13"/>
  <c r="G9" i="13" s="1"/>
  <c r="C35" i="13"/>
  <c r="F30" i="2"/>
  <c r="F28" i="2"/>
  <c r="E32" i="3"/>
  <c r="E30" i="3"/>
  <c r="Z12" i="3"/>
  <c r="K12" i="3"/>
  <c r="C37" i="4"/>
  <c r="C35" i="4"/>
  <c r="T10" i="4"/>
  <c r="K20" i="4" s="1"/>
  <c r="I10" i="5" s="1"/>
  <c r="T7" i="4"/>
  <c r="U20" i="4" s="1"/>
  <c r="I14" i="5" s="1"/>
  <c r="F18" i="5"/>
  <c r="E7" i="5" s="1"/>
  <c r="F7" i="5"/>
  <c r="F19" i="5"/>
  <c r="E8" i="5" s="1"/>
  <c r="F8" i="5"/>
  <c r="F13" i="5"/>
  <c r="F14" i="5"/>
  <c r="F5" i="5"/>
  <c r="F6" i="5"/>
  <c r="E9" i="5"/>
  <c r="F9" i="5"/>
  <c r="F10" i="5"/>
  <c r="F11" i="5"/>
  <c r="F12" i="5"/>
  <c r="B25" i="5"/>
  <c r="B23" i="5"/>
  <c r="Q18" i="2" l="1"/>
  <c r="K18" i="2"/>
  <c r="K17" i="2"/>
  <c r="Q17" i="2"/>
  <c r="K16" i="2"/>
  <c r="W16" i="2" s="1"/>
  <c r="AG16" i="2" s="1"/>
  <c r="P19" i="4"/>
  <c r="I7" i="5" s="1"/>
  <c r="E11" i="5"/>
  <c r="E6" i="5"/>
  <c r="U19" i="4"/>
  <c r="I13" i="5" s="1"/>
  <c r="P6" i="2"/>
  <c r="S6" i="2" s="1"/>
  <c r="Z5" i="3"/>
  <c r="D35" i="13"/>
  <c r="I6" i="5"/>
  <c r="I12" i="5"/>
  <c r="K19" i="4"/>
  <c r="P20" i="4"/>
  <c r="I8" i="5" s="1"/>
  <c r="P5" i="2"/>
  <c r="S5" i="2" s="1"/>
  <c r="B14" i="2" s="1"/>
  <c r="E5" i="5"/>
  <c r="E13" i="5"/>
  <c r="J13" i="5" s="1"/>
  <c r="E14" i="5"/>
  <c r="J14" i="5" s="1"/>
  <c r="E12" i="5"/>
  <c r="E10" i="5"/>
  <c r="J12" i="5" l="1"/>
  <c r="W18" i="2"/>
  <c r="AG18" i="2" s="1"/>
  <c r="B15" i="2"/>
  <c r="F15" i="2" s="1"/>
  <c r="W17" i="2"/>
  <c r="AG17" i="2" s="1"/>
  <c r="F14" i="2"/>
  <c r="K14" i="2" s="1"/>
  <c r="J10" i="5"/>
  <c r="I5" i="5"/>
  <c r="I9" i="5"/>
  <c r="J9" i="5" s="1"/>
  <c r="I11" i="5"/>
  <c r="J11" i="5" s="1"/>
  <c r="Q15" i="2" l="1"/>
  <c r="K15" i="2"/>
  <c r="Q14" i="2"/>
  <c r="W14" i="2" s="1"/>
  <c r="W15" i="2" l="1"/>
  <c r="AG15" i="2" s="1"/>
  <c r="AG14" i="2"/>
  <c r="AB19" i="2"/>
  <c r="AG19" i="2" l="1"/>
  <c r="AB20" i="2" s="1"/>
  <c r="J5" i="5"/>
  <c r="J8" i="5"/>
  <c r="J6" i="5"/>
  <c r="J7" i="5"/>
  <c r="J15" i="5" l="1"/>
  <c r="J16" i="5" s="1"/>
  <c r="J18" i="5" s="1"/>
  <c r="I9" i="13"/>
  <c r="K9" i="13"/>
  <c r="L9" i="13"/>
  <c r="I10" i="13"/>
  <c r="K10" i="13"/>
  <c r="L10" i="13"/>
  <c r="I11" i="13"/>
  <c r="K11" i="13"/>
  <c r="L11" i="13"/>
  <c r="I12" i="13"/>
  <c r="K12" i="13"/>
  <c r="L12" i="13"/>
  <c r="I13" i="13"/>
  <c r="K13" i="13"/>
  <c r="L13" i="13"/>
  <c r="I14" i="13"/>
  <c r="K14" i="13"/>
  <c r="L14" i="13"/>
  <c r="I15" i="13"/>
  <c r="K15" i="13"/>
  <c r="L15" i="13"/>
  <c r="I16" i="13"/>
  <c r="K16" i="13"/>
  <c r="L16" i="13"/>
  <c r="I17" i="13"/>
  <c r="K17" i="13"/>
  <c r="L17" i="13"/>
  <c r="I18" i="13"/>
  <c r="K18" i="13"/>
  <c r="L18" i="13"/>
  <c r="I19" i="13"/>
  <c r="K19" i="13"/>
  <c r="L19" i="13"/>
  <c r="I20" i="13"/>
  <c r="K20" i="13"/>
  <c r="L20" i="13"/>
  <c r="I21" i="13"/>
  <c r="K21" i="13"/>
  <c r="L21" i="13"/>
  <c r="I22" i="13"/>
  <c r="K22" i="13"/>
  <c r="L22" i="13"/>
  <c r="I23" i="13"/>
  <c r="K23" i="13"/>
  <c r="L23" i="13"/>
  <c r="I24" i="13"/>
  <c r="K24" i="13"/>
  <c r="L24" i="13"/>
  <c r="I25" i="13"/>
  <c r="K25" i="13"/>
  <c r="L25" i="13"/>
  <c r="I26" i="13"/>
  <c r="K26" i="13"/>
  <c r="L26" i="13"/>
  <c r="I27" i="13"/>
  <c r="K27" i="13"/>
  <c r="L27" i="13"/>
  <c r="I28" i="13"/>
  <c r="K28" i="13"/>
  <c r="L28" i="13"/>
  <c r="I29" i="13"/>
  <c r="K29" i="13"/>
  <c r="L29" i="13"/>
  <c r="I30" i="13"/>
  <c r="K30" i="13"/>
  <c r="L30" i="13"/>
  <c r="I31" i="13"/>
  <c r="K31" i="13"/>
  <c r="L31" i="13"/>
  <c r="I32" i="13"/>
  <c r="K32" i="13"/>
  <c r="L32" i="13"/>
  <c r="K35" i="13"/>
  <c r="L35" i="13"/>
</calcChain>
</file>

<file path=xl/sharedStrings.xml><?xml version="1.0" encoding="utf-8"?>
<sst xmlns="http://schemas.openxmlformats.org/spreadsheetml/2006/main" count="259" uniqueCount="195">
  <si>
    <t>Worksheet 3.1:  Analysis of the Work Zone</t>
  </si>
  <si>
    <t>Work Zone:</t>
  </si>
  <si>
    <t>Normal Capacity:</t>
  </si>
  <si>
    <t>Percent Trucks:</t>
  </si>
  <si>
    <t>Percent Cars:</t>
  </si>
  <si>
    <t>Directional ADT:</t>
  </si>
  <si>
    <t>3.1(A)</t>
  </si>
  <si>
    <t>3.1(B)</t>
  </si>
  <si>
    <t>3.1(C)</t>
  </si>
  <si>
    <t>3.1(D)</t>
  </si>
  <si>
    <t>3.1(E)</t>
  </si>
  <si>
    <t>3.1(F)</t>
  </si>
  <si>
    <t>3.1(G)</t>
  </si>
  <si>
    <t>3.1(I)</t>
  </si>
  <si>
    <t>12-1 AM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</si>
  <si>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</si>
  <si>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</si>
  <si>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</si>
  <si>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</si>
  <si>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</si>
  <si>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</si>
  <si>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</si>
  <si>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</si>
  <si>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</si>
  <si>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</si>
  <si>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 PM</t>
  </si>
  <si>
    <t>12-1</t>
  </si>
  <si>
    <t>11-12</t>
  </si>
  <si>
    <t>TOTALS</t>
  </si>
  <si>
    <t>Project:</t>
  </si>
  <si>
    <t>Date:</t>
  </si>
  <si>
    <t>Description:</t>
  </si>
  <si>
    <t>Worksheet 3.2:  Queue Delay</t>
  </si>
  <si>
    <t>3.2(A)</t>
  </si>
  <si>
    <t>3.2(B)</t>
  </si>
  <si>
    <t>3.2(C)</t>
  </si>
  <si>
    <t>3.2(D)</t>
  </si>
  <si>
    <t>3.2(E)</t>
  </si>
  <si>
    <t>3.2(F)</t>
  </si>
  <si>
    <t>3.2(G)</t>
  </si>
  <si>
    <t>3.2(H)</t>
  </si>
  <si>
    <t>3.2(I)</t>
  </si>
  <si>
    <t>3.2(J)</t>
  </si>
  <si>
    <t>3.2(K)</t>
  </si>
  <si>
    <t>3.2(L)</t>
  </si>
  <si>
    <t>3.2(M)</t>
  </si>
  <si>
    <t>3.2(N)</t>
  </si>
  <si>
    <t>3.2(O)</t>
  </si>
  <si>
    <t>Totals</t>
  </si>
  <si>
    <t>Added Time Weighted Average</t>
  </si>
  <si>
    <t>hr/veh</t>
  </si>
  <si>
    <t>Work Zone Delay</t>
  </si>
  <si>
    <t>3.3(A)</t>
  </si>
  <si>
    <t>3.3(B)</t>
  </si>
  <si>
    <t>3.3(C)</t>
  </si>
  <si>
    <t>3.3(D)</t>
  </si>
  <si>
    <t>3.3(E)</t>
  </si>
  <si>
    <t>3.3(F)</t>
  </si>
  <si>
    <t>Circuity (Detour) Delay</t>
  </si>
  <si>
    <t>3.3(G)</t>
  </si>
  <si>
    <t>3.3(H)</t>
  </si>
  <si>
    <t>3.3(I)</t>
  </si>
  <si>
    <t>3.3(J)</t>
  </si>
  <si>
    <t>3.3(K)</t>
  </si>
  <si>
    <t>3.3(L)</t>
  </si>
  <si>
    <t>Worksheet 3.4:  Escalation Factors and Cost Rates</t>
  </si>
  <si>
    <t>Escalation Factors</t>
  </si>
  <si>
    <t>3.4(A)</t>
  </si>
  <si>
    <t>3.4(B)</t>
  </si>
  <si>
    <t>3.4(C)</t>
  </si>
  <si>
    <t>3.4(D)</t>
  </si>
  <si>
    <t>Cost Factors</t>
  </si>
  <si>
    <t>IDLING and VOC</t>
  </si>
  <si>
    <t>(transportation component)</t>
  </si>
  <si>
    <t>TIME VALUE</t>
  </si>
  <si>
    <t>(all components)</t>
  </si>
  <si>
    <t>Cost Rates</t>
  </si>
  <si>
    <t>3.4(E)</t>
  </si>
  <si>
    <t>3.4(F)</t>
  </si>
  <si>
    <t>3.4(G)</t>
  </si>
  <si>
    <t>3.4(H)</t>
  </si>
  <si>
    <t>3.4(I)</t>
  </si>
  <si>
    <t>3.4(J)</t>
  </si>
  <si>
    <t>3.4(K)</t>
  </si>
  <si>
    <t>CAR</t>
  </si>
  <si>
    <t>TRUCK</t>
  </si>
  <si>
    <t>3.5(A)</t>
  </si>
  <si>
    <t>3.5(B)</t>
  </si>
  <si>
    <t>3.5(C)</t>
  </si>
  <si>
    <t>3.5(D)</t>
  </si>
  <si>
    <t>3.5(E)</t>
  </si>
  <si>
    <t>3.5(F)</t>
  </si>
  <si>
    <t>3.5(G)</t>
  </si>
  <si>
    <t>3.5(H)</t>
  </si>
  <si>
    <t>Vehicle Class</t>
  </si>
  <si>
    <t>(Added Time)</t>
  </si>
  <si>
    <t>(Added Cost)</t>
  </si>
  <si>
    <t>Circuity Delay</t>
  </si>
  <si>
    <t>Circuity VOC</t>
  </si>
  <si>
    <t>Total Vehicles that Travel Queue:</t>
  </si>
  <si>
    <t>Total Vehicles that Travel Work Zone:</t>
  </si>
  <si>
    <t>Total Vehicles that Travel Detour:</t>
  </si>
  <si>
    <t>Percent Passenger Cars:</t>
  </si>
  <si>
    <t>Calculated Road User Cost (CRUC)</t>
  </si>
  <si>
    <t>Worksheet 3.5:  Road User Costs</t>
  </si>
  <si>
    <t>Road User Cost Component</t>
  </si>
  <si>
    <t>Total Road User Cost  (per minute)</t>
  </si>
  <si>
    <t>Alternating Traffic (Flagging) Delay</t>
  </si>
  <si>
    <t>3.3(M)</t>
  </si>
  <si>
    <t>3.3(N)</t>
  </si>
  <si>
    <t>3.3(O)</t>
  </si>
  <si>
    <t>3.3(P)</t>
  </si>
  <si>
    <t>3.3(Q)</t>
  </si>
  <si>
    <t>3.3(S)</t>
  </si>
  <si>
    <t>Queue/Flagging Delay</t>
  </si>
  <si>
    <t>Queue/Flagging Idling VOC</t>
  </si>
  <si>
    <t>Daily / Hourly Road User Cost</t>
  </si>
  <si>
    <t>Worksheet 3.3:  Work Zone, Flagging and Circuity Delays</t>
  </si>
  <si>
    <t xml:space="preserve"> </t>
  </si>
  <si>
    <t>3.1(J)</t>
  </si>
  <si>
    <t>Y</t>
  </si>
  <si>
    <t>Lanes Under Normal Operation:</t>
  </si>
  <si>
    <t>3.1(H)</t>
  </si>
  <si>
    <t>Normal Speed (mph):</t>
  </si>
  <si>
    <t>Percent Truck:</t>
  </si>
  <si>
    <t>Work Zone Present? (Y or N)</t>
  </si>
  <si>
    <r>
      <t xml:space="preserve">* </t>
    </r>
    <r>
      <rPr>
        <b/>
        <sz val="10"/>
        <rFont val="Arial"/>
        <family val="2"/>
      </rPr>
      <t xml:space="preserve">CPI-U = Unadjusted Consumer Price Index for all Urban Consumers, US City Average, </t>
    </r>
  </si>
  <si>
    <t>Total Road User Cost (per Day)</t>
  </si>
  <si>
    <t>Added Time to Travel Flagging Zone
(hr/veh)</t>
  </si>
  <si>
    <t>Current VOC
Cost Rate
($/mile)</t>
  </si>
  <si>
    <t>Current Time
Value Cost Rate
($/veh-hr)</t>
  </si>
  <si>
    <t xml:space="preserve">1970
(CPI-U) </t>
  </si>
  <si>
    <r>
      <t>Current
(CPI-U)</t>
    </r>
    <r>
      <rPr>
        <b/>
        <sz val="14"/>
        <rFont val="Arial"/>
        <family val="2"/>
      </rPr>
      <t>*</t>
    </r>
  </si>
  <si>
    <t>Escalation
Factor</t>
  </si>
  <si>
    <t>Vehicle
Class</t>
  </si>
  <si>
    <t>1970
Time Value Cost Rate
($/veh-hr)</t>
  </si>
  <si>
    <t>Work Zone Length
(mile)</t>
  </si>
  <si>
    <t>Work Zone Speed
(mph)</t>
  </si>
  <si>
    <t>Time Period 
(hour)</t>
  </si>
  <si>
    <t>Hourly Traffic 
(%)</t>
  </si>
  <si>
    <t>Vehicle Demand 
(vph)</t>
  </si>
  <si>
    <t>Lanes Open 
(#)</t>
  </si>
  <si>
    <t>Roadway Capacity 
(vph)</t>
  </si>
  <si>
    <t>Queue Rate 
(vph)</t>
  </si>
  <si>
    <t>Queued Vehicles 
(vph)</t>
  </si>
  <si>
    <t>Vehicles that Travel Work Zone 
(vph)</t>
  </si>
  <si>
    <t>Vehicles that Travel Queue
 (vph)</t>
  </si>
  <si>
    <t>Queue Period 
(hour)</t>
  </si>
  <si>
    <t>Queue Volume (veh/hr)</t>
  </si>
  <si>
    <t>Normal Capacity 
(veh/hr)</t>
  </si>
  <si>
    <t xml:space="preserve">V/C 
Ratio  </t>
  </si>
  <si>
    <t>Average Queue Speed 
(mph)</t>
  </si>
  <si>
    <t>Normal Speed 
(mph)</t>
  </si>
  <si>
    <t>Maximum Queued Vehicles per Queue Period 
(#)</t>
  </si>
  <si>
    <t>Queue Lanes 
(#)</t>
  </si>
  <si>
    <t>Average Queue Length 
(mile)</t>
  </si>
  <si>
    <t>Queue Travel Time at Normal Speed 
(hr/veh)</t>
  </si>
  <si>
    <t>Queue Travel Time at Queue Speed 
(hr/veh)</t>
  </si>
  <si>
    <t>Added Time to Travel Queue
 (hr/veh)</t>
  </si>
  <si>
    <t xml:space="preserve">Vehicles That Travel Queue per Queue Period 
(#) </t>
  </si>
  <si>
    <t>Added Time per Queue Period 
(hour)</t>
  </si>
  <si>
    <t>Work Zone Travel Time at Normal Speed 
(hr/veh)</t>
  </si>
  <si>
    <t>Work Zone Travel Time at Work Zone Speed 
(hr/veh)</t>
  </si>
  <si>
    <t>Added Time to Travel Work Zone 
(hr/veh)</t>
  </si>
  <si>
    <t>Travel Length without Detour 
(mile)</t>
  </si>
  <si>
    <t>Travel Length with Detour 
(mile)</t>
  </si>
  <si>
    <t>Added Travel Length
 (mile)</t>
  </si>
  <si>
    <t>Travel Time without Detour 
(hr/veh)</t>
  </si>
  <si>
    <t>Travel Time with Detour 
(hr/veh)</t>
  </si>
  <si>
    <t>Added Time to Travel Detour 
(hr/veh)</t>
  </si>
  <si>
    <t>Flagging Zone Length 
(mile)</t>
  </si>
  <si>
    <t>Flagging Zone Speed 
(mph)</t>
  </si>
  <si>
    <t>1970 Idling Cost Rate 
($/veh-hr)</t>
  </si>
  <si>
    <t>1970 VOC Cost Rate 
($/mile)</t>
  </si>
  <si>
    <t>Current Idling Cost Rate 
($/veh-hr)</t>
  </si>
  <si>
    <t>Percent Class
 (%)</t>
  </si>
  <si>
    <t>Total Vehicles
 (#)</t>
  </si>
  <si>
    <t>Added Travel Length
 (mile/veh)</t>
  </si>
  <si>
    <t>Added Time 
(hr/veh)</t>
  </si>
  <si>
    <t>Cost Rate 
($/veh-hr, $/mile)</t>
  </si>
  <si>
    <t>Road User Cost 
($)</t>
  </si>
  <si>
    <t>Daily RUC (1) or Hourly RUC (0)</t>
  </si>
  <si>
    <t>3P-8P</t>
  </si>
  <si>
    <t>6A-9A</t>
  </si>
  <si>
    <t>Average Vehicle Length 
(ft/veh)</t>
  </si>
  <si>
    <t>Work/Flagging Zone Delay</t>
  </si>
  <si>
    <t>Flagging Zone Wait Time 
(hr/veh)</t>
  </si>
  <si>
    <t>Flagging Zone Travel Time 
(hr/veh)</t>
  </si>
  <si>
    <t>3.3(R)</t>
  </si>
  <si>
    <t>Flagging Zone Cycle 
Time  (minute)</t>
  </si>
  <si>
    <t>Work Zone Capacity:</t>
  </si>
  <si>
    <t xml:space="preserve">EXAMPLE </t>
  </si>
  <si>
    <t>Route</t>
  </si>
  <si>
    <t xml:space="preserve"> January 2015</t>
  </si>
  <si>
    <t xml:space="preserve"> Lane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</si>
</sst>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0.000"/>
    <numFmt numFmtId="167" formatCode="0.0000"/>
    <numFmt numFmtId="168" formatCode="#,##0.000"/>
    <numFmt numFmtId="169" formatCode="[$-409]d\-mmm\-yy;@"/>
    <numFmt numFmtId="170" formatCode="mm/dd/yy;@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Down">
        <bgColor indexed="8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4">
    <xf numFmtId="0" fontId="0" fillId="0" borderId="0" xfId="0"/>
    <xf numFmtId="0" fontId="1" fillId="0" borderId="0" xfId="0" applyFont="1" applyBorder="1" applyAlignment="1">
      <alignment horizontal="centerContinuous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Continuous" vertical="top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Continuous"/>
    </xf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0" xfId="0" applyFont="1" applyAlignment="1">
      <alignment vertical="center"/>
    </xf>
    <xf numFmtId="3" fontId="0" fillId="0" borderId="3" xfId="0" applyNumberFormat="1" applyBorder="1" applyAlignment="1">
      <alignment horizontal="center" vertical="center"/>
    </xf>
    <xf numFmtId="0" fontId="0" fillId="0" borderId="1" xfId="0" applyBorder="1"/>
    <xf numFmtId="0" fontId="1" fillId="0" borderId="0" xfId="0" applyFont="1" applyBorder="1" applyAlignment="1">
      <alignment horizontal="left" vertical="top"/>
    </xf>
    <xf numFmtId="2" fontId="2" fillId="0" borderId="0" xfId="0" applyNumberFormat="1" applyFont="1" applyBorder="1" applyAlignment="1">
      <alignment horizontal="centerContinuous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Continuous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Continuous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 wrapText="1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Continuous" vertical="center" wrapText="1"/>
    </xf>
    <xf numFmtId="0" fontId="1" fillId="0" borderId="9" xfId="0" applyFont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vertical="center"/>
    </xf>
    <xf numFmtId="2" fontId="8" fillId="0" borderId="0" xfId="0" applyNumberFormat="1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2" fontId="0" fillId="0" borderId="3" xfId="0" applyNumberFormat="1" applyFill="1" applyBorder="1" applyAlignment="1">
      <alignment horizontal="center" vertical="center"/>
    </xf>
    <xf numFmtId="166" fontId="0" fillId="0" borderId="3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Continuous" vertical="center" wrapText="1"/>
    </xf>
    <xf numFmtId="0" fontId="0" fillId="0" borderId="0" xfId="0" applyBorder="1" applyAlignment="1">
      <alignment vertical="center" wrapText="1"/>
    </xf>
    <xf numFmtId="3" fontId="0" fillId="0" borderId="1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Continuous"/>
    </xf>
    <xf numFmtId="0" fontId="1" fillId="0" borderId="12" xfId="0" applyFont="1" applyBorder="1" applyAlignment="1">
      <alignment horizontal="centerContinuous"/>
    </xf>
    <xf numFmtId="0" fontId="1" fillId="0" borderId="13" xfId="0" applyFont="1" applyBorder="1" applyAlignment="1">
      <alignment horizontal="centerContinuous" vertical="top"/>
    </xf>
    <xf numFmtId="0" fontId="1" fillId="0" borderId="14" xfId="0" applyFont="1" applyBorder="1" applyAlignment="1">
      <alignment horizontal="centerContinuous" vertical="top"/>
    </xf>
    <xf numFmtId="0" fontId="1" fillId="0" borderId="15" xfId="0" applyFont="1" applyBorder="1" applyAlignment="1">
      <alignment horizontal="centerContinuous" vertical="top"/>
    </xf>
    <xf numFmtId="0" fontId="1" fillId="0" borderId="16" xfId="0" applyFont="1" applyBorder="1" applyAlignment="1">
      <alignment horizontal="centerContinuous"/>
    </xf>
    <xf numFmtId="0" fontId="1" fillId="0" borderId="17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 vertical="center"/>
    </xf>
    <xf numFmtId="0" fontId="5" fillId="0" borderId="19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centerContinuous" vertical="center" wrapText="1"/>
    </xf>
    <xf numFmtId="0" fontId="5" fillId="0" borderId="7" xfId="0" applyFont="1" applyBorder="1" applyAlignment="1">
      <alignment horizontal="centerContinuous" vertical="center" wrapText="1"/>
    </xf>
    <xf numFmtId="0" fontId="5" fillId="0" borderId="6" xfId="0" applyFont="1" applyBorder="1" applyAlignment="1">
      <alignment horizontal="centerContinuous" vertical="center" wrapText="1"/>
    </xf>
    <xf numFmtId="0" fontId="10" fillId="0" borderId="0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Continuous" wrapText="1"/>
    </xf>
    <xf numFmtId="0" fontId="10" fillId="0" borderId="0" xfId="0" applyFont="1"/>
    <xf numFmtId="2" fontId="10" fillId="0" borderId="0" xfId="0" applyNumberFormat="1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centerContinuous" vertical="center" wrapText="1"/>
    </xf>
    <xf numFmtId="0" fontId="0" fillId="0" borderId="5" xfId="0" applyBorder="1" applyAlignment="1">
      <alignment horizontal="centerContinuous" vertical="center" wrapText="1"/>
    </xf>
    <xf numFmtId="0" fontId="0" fillId="0" borderId="1" xfId="0" applyBorder="1" applyAlignment="1"/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0" fillId="0" borderId="0" xfId="0" applyFont="1" applyBorder="1" applyAlignment="1">
      <alignment horizontal="centerContinuous"/>
    </xf>
    <xf numFmtId="0" fontId="11" fillId="0" borderId="0" xfId="0" applyFont="1" applyBorder="1"/>
    <xf numFmtId="0" fontId="5" fillId="0" borderId="11" xfId="0" applyFont="1" applyFill="1" applyBorder="1" applyAlignment="1">
      <alignment horizontal="centerContinuous" wrapText="1"/>
    </xf>
    <xf numFmtId="0" fontId="5" fillId="0" borderId="1" xfId="0" applyFont="1" applyFill="1" applyBorder="1" applyAlignment="1">
      <alignment horizontal="centerContinuous" vertical="top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Continuous" vertical="center"/>
    </xf>
    <xf numFmtId="3" fontId="0" fillId="0" borderId="0" xfId="0" applyNumberForma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/>
    <xf numFmtId="0" fontId="0" fillId="2" borderId="3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" fillId="0" borderId="0" xfId="0" applyFont="1" applyBorder="1"/>
    <xf numFmtId="0" fontId="1" fillId="0" borderId="21" xfId="0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Continuous" vertical="center"/>
    </xf>
    <xf numFmtId="2" fontId="1" fillId="0" borderId="23" xfId="0" applyNumberFormat="1" applyFont="1" applyBorder="1" applyAlignment="1">
      <alignment horizontal="centerContinuous" vertical="center"/>
    </xf>
    <xf numFmtId="167" fontId="1" fillId="0" borderId="22" xfId="0" applyNumberFormat="1" applyFont="1" applyBorder="1" applyAlignment="1">
      <alignment horizontal="centerContinuous" vertical="center"/>
    </xf>
    <xf numFmtId="167" fontId="1" fillId="0" borderId="23" xfId="0" applyNumberFormat="1" applyFont="1" applyBorder="1" applyAlignment="1">
      <alignment horizontal="centerContinuous" vertical="center"/>
    </xf>
    <xf numFmtId="0" fontId="1" fillId="0" borderId="18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15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0" xfId="0" applyFont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5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26" xfId="0" applyBorder="1" applyAlignment="1">
      <alignment horizontal="centerContinuous"/>
    </xf>
    <xf numFmtId="0" fontId="0" fillId="0" borderId="5" xfId="0" applyBorder="1" applyAlignment="1">
      <alignment horizontal="centerContinuous" vertical="center"/>
    </xf>
    <xf numFmtId="0" fontId="0" fillId="0" borderId="11" xfId="0" applyBorder="1"/>
    <xf numFmtId="0" fontId="0" fillId="0" borderId="19" xfId="0" applyBorder="1" applyAlignment="1"/>
    <xf numFmtId="0" fontId="0" fillId="0" borderId="32" xfId="0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Continuous" wrapText="1"/>
    </xf>
    <xf numFmtId="0" fontId="5" fillId="0" borderId="35" xfId="0" applyFont="1" applyFill="1" applyBorder="1" applyAlignment="1">
      <alignment horizontal="centerContinuous" vertical="top" wrapText="1"/>
    </xf>
    <xf numFmtId="0" fontId="5" fillId="0" borderId="13" xfId="0" applyFont="1" applyFill="1" applyBorder="1" applyAlignment="1">
      <alignment horizontal="centerContinuous" wrapText="1"/>
    </xf>
    <xf numFmtId="0" fontId="5" fillId="0" borderId="14" xfId="0" applyFont="1" applyFill="1" applyBorder="1" applyAlignment="1">
      <alignment horizontal="centerContinuous" vertical="top" wrapText="1"/>
    </xf>
    <xf numFmtId="0" fontId="5" fillId="0" borderId="15" xfId="0" applyFont="1" applyFill="1" applyBorder="1" applyAlignment="1">
      <alignment horizontal="centerContinuous" vertical="top" wrapText="1"/>
    </xf>
    <xf numFmtId="0" fontId="3" fillId="0" borderId="20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164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0" fillId="0" borderId="3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3" fontId="0" fillId="0" borderId="23" xfId="0" applyNumberFormat="1" applyBorder="1" applyAlignment="1">
      <alignment horizontal="centerContinuous" vertical="center"/>
    </xf>
    <xf numFmtId="3" fontId="0" fillId="0" borderId="37" xfId="0" applyNumberFormat="1" applyBorder="1" applyAlignment="1">
      <alignment horizontal="centerContinuous" vertical="center"/>
    </xf>
    <xf numFmtId="2" fontId="0" fillId="0" borderId="23" xfId="0" applyNumberFormat="1" applyBorder="1" applyAlignment="1">
      <alignment horizontal="centerContinuous" vertical="center" wrapText="1"/>
    </xf>
    <xf numFmtId="2" fontId="0" fillId="0" borderId="37" xfId="0" applyNumberFormat="1" applyBorder="1" applyAlignment="1">
      <alignment horizontal="centerContinuous" vertical="center" wrapText="1"/>
    </xf>
    <xf numFmtId="1" fontId="0" fillId="0" borderId="23" xfId="0" applyNumberFormat="1" applyBorder="1" applyAlignment="1">
      <alignment horizontal="centerContinuous" vertical="center"/>
    </xf>
    <xf numFmtId="1" fontId="0" fillId="0" borderId="39" xfId="0" applyNumberFormat="1" applyBorder="1" applyAlignment="1">
      <alignment horizontal="centerContinuous" vertical="center"/>
    </xf>
    <xf numFmtId="49" fontId="0" fillId="0" borderId="0" xfId="0" applyNumberFormat="1" applyBorder="1" applyAlignment="1">
      <alignment horizontal="left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167" fontId="0" fillId="0" borderId="3" xfId="0" applyNumberFormat="1" applyFill="1" applyBorder="1" applyAlignment="1">
      <alignment horizontal="center" vertical="center"/>
    </xf>
    <xf numFmtId="3" fontId="7" fillId="0" borderId="48" xfId="0" applyNumberFormat="1" applyFont="1" applyFill="1" applyBorder="1" applyAlignment="1">
      <alignment horizontal="center" vertical="center"/>
    </xf>
    <xf numFmtId="3" fontId="7" fillId="0" borderId="49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3" fontId="0" fillId="0" borderId="50" xfId="0" applyNumberFormat="1" applyBorder="1" applyAlignment="1">
      <alignment horizontal="centerContinuous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left" vertical="top"/>
    </xf>
    <xf numFmtId="3" fontId="7" fillId="0" borderId="51" xfId="0" applyNumberFormat="1" applyFont="1" applyFill="1" applyBorder="1" applyAlignment="1">
      <alignment horizontal="center" vertical="center"/>
    </xf>
    <xf numFmtId="3" fontId="7" fillId="0" borderId="5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0" fillId="0" borderId="12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13" xfId="0" applyBorder="1"/>
    <xf numFmtId="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32" xfId="0" applyBorder="1"/>
    <xf numFmtId="0" fontId="0" fillId="0" borderId="13" xfId="0" applyBorder="1" applyAlignment="1">
      <alignment horizontal="left"/>
    </xf>
    <xf numFmtId="49" fontId="9" fillId="0" borderId="27" xfId="0" applyNumberFormat="1" applyFont="1" applyBorder="1" applyAlignment="1">
      <alignment horizontal="centerContinuous" vertical="center"/>
    </xf>
    <xf numFmtId="49" fontId="9" fillId="0" borderId="35" xfId="0" applyNumberFormat="1" applyFont="1" applyBorder="1" applyAlignment="1">
      <alignment horizontal="centerContinuous" vertical="center"/>
    </xf>
    <xf numFmtId="49" fontId="4" fillId="0" borderId="35" xfId="0" applyNumberFormat="1" applyFont="1" applyBorder="1" applyAlignment="1">
      <alignment horizontal="centerContinuous" vertical="center"/>
    </xf>
    <xf numFmtId="49" fontId="4" fillId="0" borderId="1" xfId="0" applyNumberFormat="1" applyFont="1" applyBorder="1" applyAlignment="1">
      <alignment horizontal="centerContinuous" vertical="center"/>
    </xf>
    <xf numFmtId="0" fontId="10" fillId="0" borderId="0" xfId="0" applyFont="1" applyBorder="1" applyAlignment="1">
      <alignment horizontal="left"/>
    </xf>
    <xf numFmtId="3" fontId="7" fillId="0" borderId="10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2" fontId="1" fillId="0" borderId="4" xfId="0" applyNumberFormat="1" applyFont="1" applyBorder="1" applyAlignment="1">
      <alignment horizontal="centerContinuous" vertical="center"/>
    </xf>
    <xf numFmtId="2" fontId="1" fillId="0" borderId="11" xfId="0" applyNumberFormat="1" applyFont="1" applyBorder="1" applyAlignment="1">
      <alignment horizontal="centerContinuous" vertical="center"/>
    </xf>
    <xf numFmtId="167" fontId="1" fillId="0" borderId="4" xfId="0" applyNumberFormat="1" applyFont="1" applyBorder="1" applyAlignment="1">
      <alignment horizontal="centerContinuous" vertical="center"/>
    </xf>
    <xf numFmtId="0" fontId="0" fillId="0" borderId="11" xfId="0" applyBorder="1" applyAlignment="1">
      <alignment horizontal="centerContinuous"/>
    </xf>
    <xf numFmtId="167" fontId="1" fillId="0" borderId="11" xfId="0" applyNumberFormat="1" applyFont="1" applyBorder="1" applyAlignment="1">
      <alignment horizontal="centerContinuous" vertical="center"/>
    </xf>
    <xf numFmtId="0" fontId="0" fillId="0" borderId="23" xfId="0" applyBorder="1" applyAlignment="1">
      <alignment horizontal="centerContinuous"/>
    </xf>
    <xf numFmtId="3" fontId="0" fillId="0" borderId="3" xfId="0" applyNumberForma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 wrapText="1"/>
    </xf>
    <xf numFmtId="1" fontId="0" fillId="0" borderId="0" xfId="0" applyNumberFormat="1" applyBorder="1" applyAlignment="1">
      <alignment vertical="center"/>
    </xf>
    <xf numFmtId="9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Continuous" vertical="center"/>
    </xf>
    <xf numFmtId="3" fontId="7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53" xfId="0" applyFont="1" applyBorder="1" applyAlignment="1">
      <alignment horizontal="centerContinuous" vertical="center"/>
    </xf>
    <xf numFmtId="0" fontId="0" fillId="0" borderId="54" xfId="0" applyBorder="1" applyAlignment="1">
      <alignment horizontal="centerContinuous"/>
    </xf>
    <xf numFmtId="3" fontId="7" fillId="0" borderId="51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Continuous" vertical="center"/>
    </xf>
    <xf numFmtId="0" fontId="0" fillId="0" borderId="56" xfId="0" applyBorder="1" applyAlignment="1">
      <alignment horizontal="centerContinuous"/>
    </xf>
    <xf numFmtId="0" fontId="5" fillId="0" borderId="0" xfId="0" applyFont="1"/>
    <xf numFmtId="3" fontId="7" fillId="0" borderId="57" xfId="0" applyNumberFormat="1" applyFont="1" applyFill="1" applyBorder="1" applyAlignment="1">
      <alignment horizontal="center" vertical="center"/>
    </xf>
    <xf numFmtId="3" fontId="7" fillId="0" borderId="54" xfId="0" applyNumberFormat="1" applyFont="1" applyFill="1" applyBorder="1" applyAlignment="1">
      <alignment horizontal="center" vertical="center"/>
    </xf>
    <xf numFmtId="3" fontId="7" fillId="0" borderId="56" xfId="0" applyNumberFormat="1" applyFont="1" applyFill="1" applyBorder="1" applyAlignment="1">
      <alignment horizontal="center" vertical="center"/>
    </xf>
    <xf numFmtId="1" fontId="7" fillId="0" borderId="57" xfId="0" applyNumberFormat="1" applyFont="1" applyFill="1" applyBorder="1" applyAlignment="1">
      <alignment horizontal="center" vertical="center"/>
    </xf>
    <xf numFmtId="1" fontId="7" fillId="0" borderId="54" xfId="0" applyNumberFormat="1" applyFont="1" applyFill="1" applyBorder="1" applyAlignment="1">
      <alignment horizontal="center" vertical="center"/>
    </xf>
    <xf numFmtId="1" fontId="7" fillId="0" borderId="56" xfId="0" applyNumberFormat="1" applyFont="1" applyFill="1" applyBorder="1" applyAlignment="1">
      <alignment horizontal="center" vertical="center"/>
    </xf>
    <xf numFmtId="1" fontId="7" fillId="0" borderId="58" xfId="0" applyNumberFormat="1" applyFont="1" applyFill="1" applyBorder="1" applyAlignment="1">
      <alignment horizontal="center" vertical="center"/>
    </xf>
    <xf numFmtId="166" fontId="0" fillId="0" borderId="56" xfId="0" applyNumberFormat="1" applyFill="1" applyBorder="1" applyAlignment="1">
      <alignment horizontal="center" vertical="center"/>
    </xf>
    <xf numFmtId="0" fontId="11" fillId="0" borderId="0" xfId="0" applyFont="1" applyBorder="1" applyAlignment="1">
      <alignment horizontal="centerContinuous" vertical="center"/>
    </xf>
    <xf numFmtId="0" fontId="0" fillId="3" borderId="1" xfId="0" applyFill="1" applyBorder="1" applyAlignment="1">
      <alignment horizontal="left"/>
    </xf>
    <xf numFmtId="0" fontId="0" fillId="0" borderId="15" xfId="0" applyBorder="1" applyAlignment="1">
      <alignment horizontal="right" vertical="top"/>
    </xf>
    <xf numFmtId="0" fontId="0" fillId="4" borderId="11" xfId="0" applyFill="1" applyBorder="1" applyAlignment="1"/>
    <xf numFmtId="1" fontId="0" fillId="4" borderId="0" xfId="0" applyNumberFormat="1" applyFill="1" applyBorder="1" applyAlignment="1">
      <alignment horizontal="center"/>
    </xf>
    <xf numFmtId="0" fontId="0" fillId="4" borderId="0" xfId="0" applyFill="1"/>
    <xf numFmtId="169" fontId="0" fillId="0" borderId="0" xfId="0" applyNumberFormat="1" applyBorder="1" applyAlignment="1">
      <alignment horizontal="left"/>
    </xf>
    <xf numFmtId="3" fontId="0" fillId="0" borderId="10" xfId="0" applyNumberFormat="1" applyBorder="1" applyAlignment="1">
      <alignment horizontal="center" vertical="center"/>
    </xf>
    <xf numFmtId="3" fontId="13" fillId="3" borderId="40" xfId="0" applyNumberFormat="1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center"/>
    </xf>
    <xf numFmtId="3" fontId="13" fillId="5" borderId="1" xfId="0" applyNumberFormat="1" applyFont="1" applyFill="1" applyBorder="1" applyAlignment="1">
      <alignment horizontal="center"/>
    </xf>
    <xf numFmtId="164" fontId="13" fillId="3" borderId="2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>
      <alignment horizontal="center" vertical="center"/>
    </xf>
    <xf numFmtId="1" fontId="13" fillId="3" borderId="3" xfId="0" applyNumberFormat="1" applyFont="1" applyFill="1" applyBorder="1" applyAlignment="1">
      <alignment horizontal="center" vertical="center"/>
    </xf>
    <xf numFmtId="3" fontId="13" fillId="5" borderId="57" xfId="0" applyNumberFormat="1" applyFont="1" applyFill="1" applyBorder="1" applyAlignment="1">
      <alignment horizontal="center" vertical="center"/>
    </xf>
    <xf numFmtId="3" fontId="13" fillId="5" borderId="3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Continuous"/>
    </xf>
    <xf numFmtId="166" fontId="13" fillId="5" borderId="2" xfId="0" applyNumberFormat="1" applyFont="1" applyFill="1" applyBorder="1" applyAlignment="1">
      <alignment horizontal="center" vertical="center"/>
    </xf>
    <xf numFmtId="166" fontId="13" fillId="5" borderId="3" xfId="0" applyNumberFormat="1" applyFont="1" applyFill="1" applyBorder="1" applyAlignment="1">
      <alignment horizontal="center" vertical="center"/>
    </xf>
    <xf numFmtId="166" fontId="13" fillId="3" borderId="2" xfId="0" applyNumberFormat="1" applyFont="1" applyFill="1" applyBorder="1" applyAlignment="1">
      <alignment horizontal="center" vertical="center"/>
    </xf>
    <xf numFmtId="166" fontId="13" fillId="3" borderId="3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Continuous" vertical="center"/>
    </xf>
    <xf numFmtId="164" fontId="13" fillId="3" borderId="56" xfId="0" applyNumberFormat="1" applyFont="1" applyFill="1" applyBorder="1" applyAlignment="1">
      <alignment horizontal="centerContinuous" vertical="center"/>
    </xf>
    <xf numFmtId="3" fontId="13" fillId="3" borderId="4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" fontId="13" fillId="5" borderId="1" xfId="0" applyNumberFormat="1" applyFont="1" applyFill="1" applyBorder="1" applyAlignment="1">
      <alignment horizontal="center"/>
    </xf>
    <xf numFmtId="3" fontId="0" fillId="0" borderId="36" xfId="0" applyNumberFormat="1" applyBorder="1" applyAlignment="1">
      <alignment horizontal="centerContinuous" vertical="center"/>
    </xf>
    <xf numFmtId="0" fontId="7" fillId="0" borderId="8" xfId="0" applyFont="1" applyBorder="1" applyAlignment="1">
      <alignment horizontal="centerContinuous"/>
    </xf>
    <xf numFmtId="3" fontId="7" fillId="0" borderId="22" xfId="0" applyNumberFormat="1" applyFont="1" applyFill="1" applyBorder="1" applyAlignment="1">
      <alignment horizontal="centerContinuous" vertical="center"/>
    </xf>
    <xf numFmtId="3" fontId="7" fillId="0" borderId="23" xfId="0" applyNumberFormat="1" applyFont="1" applyFill="1" applyBorder="1" applyAlignment="1">
      <alignment horizontal="centerContinuous" vertical="center"/>
    </xf>
    <xf numFmtId="3" fontId="7" fillId="0" borderId="37" xfId="0" applyNumberFormat="1" applyFont="1" applyFill="1" applyBorder="1" applyAlignment="1">
      <alignment horizontal="centerContinuous" vertical="center"/>
    </xf>
    <xf numFmtId="3" fontId="0" fillId="0" borderId="22" xfId="0" applyNumberFormat="1" applyBorder="1" applyAlignment="1">
      <alignment horizontal="centerContinuous" vertical="center"/>
    </xf>
    <xf numFmtId="0" fontId="1" fillId="0" borderId="14" xfId="0" applyFont="1" applyBorder="1" applyAlignment="1">
      <alignment horizontal="centerContinuous" vertical="center" wrapText="1"/>
    </xf>
    <xf numFmtId="0" fontId="0" fillId="0" borderId="15" xfId="0" applyBorder="1" applyAlignment="1">
      <alignment horizontal="centerContinuous" vertical="center" wrapText="1"/>
    </xf>
    <xf numFmtId="0" fontId="0" fillId="0" borderId="15" xfId="0" applyBorder="1" applyAlignment="1">
      <alignment horizontal="centerContinuous"/>
    </xf>
    <xf numFmtId="0" fontId="5" fillId="0" borderId="35" xfId="0" applyFont="1" applyBorder="1" applyAlignment="1">
      <alignment horizontal="centerContinuous" vertical="center"/>
    </xf>
    <xf numFmtId="166" fontId="13" fillId="0" borderId="0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Continuous" vertical="center"/>
    </xf>
    <xf numFmtId="49" fontId="5" fillId="0" borderId="1" xfId="0" applyNumberFormat="1" applyFont="1" applyBorder="1" applyAlignment="1">
      <alignment horizontal="centerContinuous" vertical="center"/>
    </xf>
    <xf numFmtId="0" fontId="5" fillId="0" borderId="33" xfId="0" applyFont="1" applyBorder="1" applyAlignment="1">
      <alignment horizontal="centerContinuous" vertical="center" wrapText="1"/>
    </xf>
    <xf numFmtId="0" fontId="1" fillId="0" borderId="33" xfId="0" applyFont="1" applyBorder="1" applyAlignment="1">
      <alignment horizontal="centerContinuous" vertical="center" wrapText="1"/>
    </xf>
    <xf numFmtId="0" fontId="0" fillId="0" borderId="33" xfId="0" applyBorder="1" applyAlignment="1">
      <alignment horizontal="centerContinuous"/>
    </xf>
    <xf numFmtId="0" fontId="0" fillId="0" borderId="26" xfId="0" applyBorder="1" applyAlignment="1">
      <alignment horizontal="centerContinuous" vertical="center" wrapText="1"/>
    </xf>
    <xf numFmtId="0" fontId="0" fillId="0" borderId="63" xfId="0" applyBorder="1" applyAlignment="1">
      <alignment horizontal="centerContinuous" vertical="center" wrapText="1"/>
    </xf>
    <xf numFmtId="0" fontId="0" fillId="0" borderId="33" xfId="0" applyBorder="1" applyAlignment="1">
      <alignment horizontal="centerContinuous" vertical="center" wrapText="1"/>
    </xf>
    <xf numFmtId="49" fontId="13" fillId="0" borderId="1" xfId="0" applyNumberFormat="1" applyFont="1" applyBorder="1"/>
    <xf numFmtId="170" fontId="13" fillId="0" borderId="1" xfId="0" applyNumberFormat="1" applyFont="1" applyFill="1" applyBorder="1" applyAlignment="1">
      <alignment horizontal="center"/>
    </xf>
    <xf numFmtId="3" fontId="0" fillId="0" borderId="10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49" fontId="9" fillId="0" borderId="35" xfId="0" applyNumberFormat="1" applyFont="1" applyFill="1" applyBorder="1" applyAlignment="1">
      <alignment horizontal="centerContinuous" vertical="center"/>
    </xf>
    <xf numFmtId="49" fontId="5" fillId="0" borderId="1" xfId="0" applyNumberFormat="1" applyFont="1" applyFill="1" applyBorder="1" applyAlignment="1">
      <alignment horizontal="centerContinuous" vertical="center"/>
    </xf>
    <xf numFmtId="3" fontId="0" fillId="0" borderId="10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Continuous" vertical="center"/>
    </xf>
    <xf numFmtId="3" fontId="0" fillId="0" borderId="50" xfId="0" applyNumberFormat="1" applyFill="1" applyBorder="1" applyAlignment="1">
      <alignment horizontal="centerContinuous" vertical="center"/>
    </xf>
    <xf numFmtId="3" fontId="13" fillId="5" borderId="2" xfId="0" applyNumberFormat="1" applyFont="1" applyFill="1" applyBorder="1" applyAlignment="1">
      <alignment horizontal="center" vertical="center"/>
    </xf>
    <xf numFmtId="3" fontId="13" fillId="5" borderId="10" xfId="0" applyNumberFormat="1" applyFont="1" applyFill="1" applyBorder="1" applyAlignment="1">
      <alignment horizontal="center" vertical="center"/>
    </xf>
    <xf numFmtId="3" fontId="8" fillId="5" borderId="10" xfId="0" applyNumberFormat="1" applyFont="1" applyFill="1" applyBorder="1" applyAlignment="1">
      <alignment horizontal="center" vertical="center"/>
    </xf>
    <xf numFmtId="164" fontId="13" fillId="5" borderId="3" xfId="0" applyNumberFormat="1" applyFont="1" applyFill="1" applyBorder="1" applyAlignment="1">
      <alignment horizontal="center" vertical="center"/>
    </xf>
    <xf numFmtId="1" fontId="13" fillId="5" borderId="3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left"/>
    </xf>
    <xf numFmtId="4" fontId="7" fillId="0" borderId="52" xfId="0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4" fillId="0" borderId="13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164" fontId="0" fillId="0" borderId="46" xfId="0" applyNumberFormat="1" applyBorder="1" applyAlignment="1">
      <alignment horizontal="center" vertical="center"/>
    </xf>
    <xf numFmtId="3" fontId="0" fillId="0" borderId="46" xfId="0" applyNumberFormat="1" applyBorder="1" applyAlignment="1">
      <alignment horizontal="center" vertical="center"/>
    </xf>
    <xf numFmtId="1" fontId="0" fillId="0" borderId="46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164" fontId="0" fillId="0" borderId="6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3" fontId="0" fillId="7" borderId="6" xfId="0" applyNumberFormat="1" applyFill="1" applyBorder="1" applyAlignment="1">
      <alignment horizontal="center" vertical="center"/>
    </xf>
    <xf numFmtId="3" fontId="7" fillId="7" borderId="6" xfId="0" applyNumberFormat="1" applyFont="1" applyFill="1" applyBorder="1" applyAlignment="1">
      <alignment horizontal="centerContinuous" vertical="center"/>
    </xf>
    <xf numFmtId="3" fontId="7" fillId="7" borderId="8" xfId="0" applyNumberFormat="1" applyFont="1" applyFill="1" applyBorder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0" fillId="0" borderId="10" xfId="0" applyNumberFormat="1" applyFill="1" applyBorder="1" applyAlignment="1">
      <alignment horizontal="center" vertical="center"/>
    </xf>
    <xf numFmtId="3" fontId="0" fillId="0" borderId="43" xfId="0" applyNumberFormat="1" applyFill="1" applyBorder="1" applyAlignment="1">
      <alignment horizontal="center" vertical="center"/>
    </xf>
    <xf numFmtId="3" fontId="0" fillId="0" borderId="47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49" fontId="8" fillId="3" borderId="40" xfId="0" applyNumberFormat="1" applyFont="1" applyFill="1" applyBorder="1" applyAlignment="1">
      <alignment horizontal="left"/>
    </xf>
    <xf numFmtId="0" fontId="13" fillId="3" borderId="40" xfId="0" applyFont="1" applyFill="1" applyBorder="1" applyAlignme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0" fontId="13" fillId="3" borderId="1" xfId="0" applyNumberFormat="1" applyFont="1" applyFill="1" applyBorder="1" applyAlignment="1">
      <alignment horizontal="center"/>
    </xf>
    <xf numFmtId="170" fontId="13" fillId="0" borderId="1" xfId="0" applyNumberFormat="1" applyFont="1" applyBorder="1" applyAlignment="1">
      <alignment horizontal="center"/>
    </xf>
    <xf numFmtId="164" fontId="0" fillId="0" borderId="28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13" fillId="3" borderId="27" xfId="0" applyNumberFormat="1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3" fontId="13" fillId="3" borderId="57" xfId="0" applyNumberFormat="1" applyFont="1" applyFill="1" applyBorder="1" applyAlignment="1">
      <alignment horizontal="center" vertical="center"/>
    </xf>
    <xf numFmtId="0" fontId="13" fillId="3" borderId="57" xfId="0" applyFont="1" applyFill="1" applyBorder="1" applyAlignment="1">
      <alignment horizontal="center" vertical="center"/>
    </xf>
    <xf numFmtId="3" fontId="13" fillId="3" borderId="54" xfId="0" applyNumberFormat="1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1" fontId="0" fillId="4" borderId="10" xfId="0" applyNumberFormat="1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1" fontId="13" fillId="3" borderId="10" xfId="0" applyNumberFormat="1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/>
    </xf>
    <xf numFmtId="1" fontId="0" fillId="0" borderId="42" xfId="0" applyNumberFormat="1" applyBorder="1" applyAlignment="1">
      <alignment horizontal="center" vertical="center"/>
    </xf>
    <xf numFmtId="1" fontId="0" fillId="0" borderId="43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/>
    </xf>
    <xf numFmtId="1" fontId="0" fillId="4" borderId="22" xfId="0" applyNumberForma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1" fontId="13" fillId="3" borderId="22" xfId="0" applyNumberFormat="1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1" fontId="13" fillId="3" borderId="54" xfId="0" applyNumberFormat="1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4" xfId="0" applyBorder="1" applyAlignment="1">
      <alignment horizontal="center"/>
    </xf>
    <xf numFmtId="166" fontId="0" fillId="0" borderId="10" xfId="0" applyNumberForma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50" xfId="0" applyBorder="1" applyAlignment="1">
      <alignment horizontal="center"/>
    </xf>
    <xf numFmtId="49" fontId="13" fillId="5" borderId="28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49" fontId="13" fillId="5" borderId="21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" fontId="0" fillId="0" borderId="40" xfId="0" applyNumberFormat="1" applyBorder="1" applyAlignment="1">
      <alignment horizontal="center" vertical="center"/>
    </xf>
    <xf numFmtId="1" fontId="0" fillId="0" borderId="41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66" fontId="0" fillId="0" borderId="57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 wrapText="1"/>
    </xf>
    <xf numFmtId="166" fontId="0" fillId="0" borderId="54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" fontId="13" fillId="3" borderId="56" xfId="0" applyNumberFormat="1" applyFont="1" applyFill="1" applyBorder="1" applyAlignment="1">
      <alignment horizontal="center" vertical="center" wrapText="1"/>
    </xf>
    <xf numFmtId="0" fontId="13" fillId="3" borderId="5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39" xfId="0" applyBorder="1" applyAlignment="1">
      <alignment horizontal="center"/>
    </xf>
    <xf numFmtId="166" fontId="0" fillId="0" borderId="56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3" fillId="0" borderId="1" xfId="0" applyNumberFormat="1" applyFont="1" applyBorder="1"/>
    <xf numFmtId="168" fontId="0" fillId="7" borderId="33" xfId="0" applyNumberFormat="1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170" fontId="13" fillId="0" borderId="1" xfId="0" applyNumberFormat="1" applyFont="1" applyFill="1" applyBorder="1" applyAlignment="1">
      <alignment horizontal="center"/>
    </xf>
    <xf numFmtId="170" fontId="13" fillId="0" borderId="1" xfId="0" applyNumberFormat="1" applyFont="1" applyBorder="1" applyAlignment="1"/>
    <xf numFmtId="164" fontId="13" fillId="3" borderId="9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24" xfId="0" applyBorder="1" applyAlignment="1"/>
    <xf numFmtId="164" fontId="13" fillId="5" borderId="6" xfId="0" applyNumberFormat="1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/>
    </xf>
    <xf numFmtId="1" fontId="13" fillId="3" borderId="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7" xfId="0" applyBorder="1" applyAlignment="1"/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6" fontId="0" fillId="7" borderId="6" xfId="0" applyNumberForma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166" fontId="0" fillId="8" borderId="6" xfId="0" applyNumberFormat="1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0" fillId="8" borderId="7" xfId="0" applyFill="1" applyBorder="1" applyAlignment="1">
      <alignment vertical="center"/>
    </xf>
    <xf numFmtId="166" fontId="7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1" fontId="0" fillId="4" borderId="7" xfId="0" applyNumberFormat="1" applyFill="1" applyBorder="1" applyAlignment="1">
      <alignment horizontal="center" vertical="center"/>
    </xf>
    <xf numFmtId="164" fontId="13" fillId="3" borderId="6" xfId="0" applyNumberFormat="1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166" fontId="13" fillId="3" borderId="61" xfId="0" applyNumberFormat="1" applyFont="1" applyFill="1" applyBorder="1" applyAlignment="1">
      <alignment horizontal="center" vertical="center"/>
    </xf>
    <xf numFmtId="166" fontId="13" fillId="3" borderId="62" xfId="0" applyNumberFormat="1" applyFont="1" applyFill="1" applyBorder="1" applyAlignment="1">
      <alignment horizontal="center" vertical="center"/>
    </xf>
    <xf numFmtId="166" fontId="13" fillId="3" borderId="6" xfId="0" applyNumberFormat="1" applyFont="1" applyFill="1" applyBorder="1" applyAlignment="1">
      <alignment horizontal="center" vertical="center"/>
    </xf>
    <xf numFmtId="166" fontId="13" fillId="3" borderId="5" xfId="0" applyNumberFormat="1" applyFont="1" applyFill="1" applyBorder="1" applyAlignment="1">
      <alignment horizontal="center" vertical="center"/>
    </xf>
    <xf numFmtId="166" fontId="13" fillId="3" borderId="7" xfId="0" applyNumberFormat="1" applyFont="1" applyFill="1" applyBorder="1" applyAlignment="1">
      <alignment horizontal="center" vertical="center"/>
    </xf>
    <xf numFmtId="166" fontId="2" fillId="7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34" xfId="0" applyFont="1" applyBorder="1" applyAlignment="1">
      <alignment horizontal="center" vertical="center" wrapText="1"/>
    </xf>
    <xf numFmtId="164" fontId="2" fillId="7" borderId="34" xfId="0" applyNumberFormat="1" applyFont="1" applyFill="1" applyBorder="1" applyAlignment="1">
      <alignment horizontal="center" vertical="center"/>
    </xf>
    <xf numFmtId="0" fontId="0" fillId="7" borderId="61" xfId="0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9" xfId="0" applyBorder="1" applyAlignment="1">
      <alignment vertical="center"/>
    </xf>
    <xf numFmtId="164" fontId="13" fillId="3" borderId="4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5" fillId="0" borderId="47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6" xfId="0" applyBorder="1" applyAlignment="1">
      <alignment vertical="center"/>
    </xf>
    <xf numFmtId="164" fontId="13" fillId="3" borderId="47" xfId="0" applyNumberFormat="1" applyFont="1" applyFill="1" applyBorder="1" applyAlignment="1">
      <alignment horizontal="center" vertical="center"/>
    </xf>
    <xf numFmtId="2" fontId="7" fillId="0" borderId="4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2" fontId="0" fillId="7" borderId="2" xfId="0" applyNumberFormat="1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167" fontId="7" fillId="7" borderId="2" xfId="0" applyNumberFormat="1" applyFont="1" applyFill="1" applyBorder="1" applyAlignment="1">
      <alignment horizontal="center" vertical="center"/>
    </xf>
    <xf numFmtId="166" fontId="7" fillId="7" borderId="2" xfId="0" applyNumberFormat="1" applyFont="1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2" fontId="0" fillId="7" borderId="22" xfId="0" applyNumberFormat="1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167" fontId="7" fillId="7" borderId="22" xfId="0" applyNumberFormat="1" applyFont="1" applyFill="1" applyBorder="1" applyAlignment="1">
      <alignment horizontal="center" vertical="center"/>
    </xf>
    <xf numFmtId="166" fontId="7" fillId="7" borderId="22" xfId="0" applyNumberFormat="1" applyFont="1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17" fontId="8" fillId="5" borderId="0" xfId="0" applyNumberFormat="1" applyFont="1" applyFill="1" applyBorder="1" applyAlignment="1">
      <alignment horizontal="center"/>
    </xf>
    <xf numFmtId="17" fontId="13" fillId="5" borderId="0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0" fillId="0" borderId="11" xfId="0" applyBorder="1"/>
    <xf numFmtId="0" fontId="0" fillId="0" borderId="18" xfId="0" applyBorder="1"/>
    <xf numFmtId="49" fontId="0" fillId="6" borderId="64" xfId="0" applyNumberFormat="1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opLeftCell="A10" zoomScaleNormal="100" workbookViewId="0">
      <selection activeCell="P7" sqref="P7"/>
    </sheetView>
  </sheetViews>
  <sheetFormatPr defaultColWidth="9.109375" defaultRowHeight="13.2" x14ac:dyDescent="0.25"/>
  <cols>
    <col min="1" max="1" width="1.33203125" style="9" customWidth="1"/>
    <col min="2" max="2" width="9.6640625" style="9" customWidth="1"/>
    <col min="3" max="3" width="10.33203125" style="10" customWidth="1"/>
    <col min="4" max="4" width="10.6640625" style="7" customWidth="1"/>
    <col min="5" max="5" width="9.33203125" style="7" customWidth="1"/>
    <col min="6" max="6" width="10.6640625" style="10" customWidth="1"/>
    <col min="7" max="7" width="9.6640625" style="9" customWidth="1"/>
    <col min="8" max="8" width="1.6640625" style="9" customWidth="1"/>
    <col min="9" max="9" width="9.109375" style="7" customWidth="1"/>
    <col min="10" max="10" width="10" style="7" customWidth="1"/>
    <col min="11" max="11" width="10.6640625" style="7" customWidth="1"/>
    <col min="12" max="12" width="9.6640625" style="7" customWidth="1"/>
    <col min="13" max="13" width="1.6640625" style="9" customWidth="1"/>
    <col min="14" max="16384" width="9.109375" style="9"/>
  </cols>
  <sheetData>
    <row r="1" spans="1:14" s="77" customFormat="1" ht="23.25" customHeight="1" x14ac:dyDescent="0.25">
      <c r="B1" s="76" t="s">
        <v>0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4" s="5" customFormat="1" ht="11.25" customHeight="1" thickBot="1" x14ac:dyDescent="0.3">
      <c r="B2" s="1"/>
      <c r="C2" s="2"/>
      <c r="D2" s="3"/>
      <c r="E2" s="3"/>
      <c r="F2" s="2"/>
      <c r="G2" s="4"/>
      <c r="H2" s="4"/>
      <c r="I2" s="223"/>
      <c r="J2" s="223"/>
      <c r="K2" s="223"/>
      <c r="L2" s="3"/>
      <c r="M2" s="4"/>
    </row>
    <row r="3" spans="1:14" s="13" customFormat="1" ht="21" customHeight="1" x14ac:dyDescent="0.3">
      <c r="A3" s="178"/>
      <c r="B3" s="179" t="s">
        <v>1</v>
      </c>
      <c r="C3" s="139"/>
      <c r="D3" s="315" t="s">
        <v>194</v>
      </c>
      <c r="E3" s="316"/>
      <c r="F3" s="316"/>
      <c r="G3" s="316"/>
      <c r="H3" s="224"/>
      <c r="I3" s="179" t="s">
        <v>2</v>
      </c>
      <c r="L3" s="229">
        <v>6000</v>
      </c>
      <c r="M3" s="140"/>
    </row>
    <row r="4" spans="1:14" customFormat="1" ht="15" customHeight="1" x14ac:dyDescent="0.3">
      <c r="A4" s="180"/>
      <c r="B4" s="105" t="s">
        <v>123</v>
      </c>
      <c r="D4" s="230">
        <v>55</v>
      </c>
      <c r="E4" s="7"/>
      <c r="F4" s="250" t="s">
        <v>4</v>
      </c>
      <c r="G4" s="251">
        <v>90</v>
      </c>
      <c r="H4" s="225"/>
      <c r="I4" s="182" t="s">
        <v>190</v>
      </c>
      <c r="J4" s="7"/>
      <c r="K4" s="7"/>
      <c r="L4" s="232">
        <v>3000</v>
      </c>
      <c r="M4" s="183"/>
    </row>
    <row r="5" spans="1:14" s="13" customFormat="1" ht="15" customHeight="1" x14ac:dyDescent="0.3">
      <c r="A5" s="184"/>
      <c r="B5" s="108" t="s">
        <v>5</v>
      </c>
      <c r="C5" s="27"/>
      <c r="D5" s="231">
        <v>50000</v>
      </c>
      <c r="E5"/>
      <c r="F5" s="206" t="s">
        <v>124</v>
      </c>
      <c r="G5" s="230">
        <v>10</v>
      </c>
      <c r="H5" s="225"/>
      <c r="I5" s="249" t="s">
        <v>121</v>
      </c>
      <c r="L5" s="230">
        <v>3</v>
      </c>
      <c r="M5" s="141"/>
    </row>
    <row r="6" spans="1:14" s="13" customFormat="1" ht="6" customHeight="1" thickBot="1" x14ac:dyDescent="0.3">
      <c r="A6" s="184"/>
      <c r="B6" s="12"/>
      <c r="C6" s="9"/>
      <c r="D6" s="34"/>
      <c r="E6" s="34"/>
      <c r="F6" s="34"/>
      <c r="G6" s="14"/>
      <c r="H6" s="14"/>
      <c r="I6" s="14"/>
      <c r="J6" s="14"/>
      <c r="K6" s="11"/>
      <c r="L6" s="11"/>
      <c r="M6" s="141"/>
    </row>
    <row r="7" spans="1:14" s="8" customFormat="1" ht="13.8" thickBot="1" x14ac:dyDescent="0.3">
      <c r="A7" s="72" t="s">
        <v>6</v>
      </c>
      <c r="B7" s="73"/>
      <c r="C7" s="75" t="s">
        <v>7</v>
      </c>
      <c r="D7" s="263" t="s">
        <v>8</v>
      </c>
      <c r="E7" s="263" t="s">
        <v>9</v>
      </c>
      <c r="F7" s="263" t="s">
        <v>10</v>
      </c>
      <c r="G7" s="317" t="s">
        <v>11</v>
      </c>
      <c r="H7" s="318"/>
      <c r="I7" s="263" t="s">
        <v>12</v>
      </c>
      <c r="J7" s="263" t="s">
        <v>122</v>
      </c>
      <c r="K7" s="263" t="s">
        <v>13</v>
      </c>
      <c r="L7" s="75" t="s">
        <v>119</v>
      </c>
      <c r="M7" s="253"/>
    </row>
    <row r="8" spans="1:14" s="99" customFormat="1" ht="54" customHeight="1" thickBot="1" x14ac:dyDescent="0.3">
      <c r="A8" s="321" t="s">
        <v>138</v>
      </c>
      <c r="B8" s="318"/>
      <c r="C8" s="102" t="s">
        <v>139</v>
      </c>
      <c r="D8" s="247" t="s">
        <v>140</v>
      </c>
      <c r="E8" s="247" t="s">
        <v>141</v>
      </c>
      <c r="F8" s="247" t="s">
        <v>142</v>
      </c>
      <c r="G8" s="317" t="s">
        <v>143</v>
      </c>
      <c r="H8" s="318"/>
      <c r="I8" s="247" t="s">
        <v>144</v>
      </c>
      <c r="J8" s="247" t="s">
        <v>125</v>
      </c>
      <c r="K8" s="248" t="s">
        <v>145</v>
      </c>
      <c r="L8" s="317" t="s">
        <v>146</v>
      </c>
      <c r="M8" s="322"/>
    </row>
    <row r="9" spans="1:14" s="26" customFormat="1" ht="17.100000000000001" customHeight="1" x14ac:dyDescent="0.25">
      <c r="A9" s="185" t="s">
        <v>14</v>
      </c>
      <c r="B9" s="264"/>
      <c r="C9" s="233">
        <v>0.7</v>
      </c>
      <c r="D9" s="275">
        <f t="shared" ref="D9:D32" si="0">$D$5*C9/100</f>
        <v>350</v>
      </c>
      <c r="E9" s="235">
        <v>2</v>
      </c>
      <c r="F9" s="237">
        <v>3000</v>
      </c>
      <c r="G9" s="319">
        <f>D9-F9</f>
        <v>-2650</v>
      </c>
      <c r="H9" s="320"/>
      <c r="I9" s="275">
        <f ca="1">IF(G9+I32&lt;0,0,G9+I32)</f>
        <v>0</v>
      </c>
      <c r="J9" s="281" t="s">
        <v>120</v>
      </c>
      <c r="K9" s="21">
        <f ca="1">IF(J9="N",0,IF(I9=0,D9+I32,F9))</f>
        <v>350</v>
      </c>
      <c r="L9" s="200">
        <f ca="1">IF(J9="N",0,IF(I9=0,I32/ABS(G9)*D9+I32,F9))</f>
        <v>0</v>
      </c>
      <c r="M9" s="252"/>
    </row>
    <row r="10" spans="1:14" s="26" customFormat="1" ht="17.100000000000001" customHeight="1" x14ac:dyDescent="0.25">
      <c r="A10" s="186" t="s">
        <v>15</v>
      </c>
      <c r="B10" s="265"/>
      <c r="C10" s="234">
        <v>0.5</v>
      </c>
      <c r="D10" s="274">
        <f t="shared" si="0"/>
        <v>250</v>
      </c>
      <c r="E10" s="236">
        <v>2</v>
      </c>
      <c r="F10" s="238">
        <v>3000</v>
      </c>
      <c r="G10" s="313">
        <f>D10-F10</f>
        <v>-2750</v>
      </c>
      <c r="H10" s="314"/>
      <c r="I10" s="274">
        <f ca="1">IF(G10+I9&lt;0,0,G10+I9)</f>
        <v>0</v>
      </c>
      <c r="J10" s="282" t="s">
        <v>120</v>
      </c>
      <c r="K10" s="228">
        <f t="shared" ref="K10:K14" ca="1" si="1">IF(J10="N",0,IF(I10=0,D10+I9,F10))</f>
        <v>250</v>
      </c>
      <c r="L10" s="200">
        <f ca="1">IF(J10="N",0,IF(I10=0,I9/ABS(G10)*D10+I9,F10))</f>
        <v>0</v>
      </c>
      <c r="M10" s="171"/>
    </row>
    <row r="11" spans="1:14" s="26" customFormat="1" ht="17.100000000000001" customHeight="1" x14ac:dyDescent="0.25">
      <c r="A11" s="186" t="s">
        <v>16</v>
      </c>
      <c r="B11" s="265"/>
      <c r="C11" s="234">
        <v>0.4</v>
      </c>
      <c r="D11" s="274">
        <f t="shared" si="0"/>
        <v>200</v>
      </c>
      <c r="E11" s="236">
        <v>2</v>
      </c>
      <c r="F11" s="238">
        <v>3000</v>
      </c>
      <c r="G11" s="313">
        <f t="shared" ref="G11:G32" si="2">D11-F11</f>
        <v>-2800</v>
      </c>
      <c r="H11" s="314"/>
      <c r="I11" s="274">
        <f t="shared" ref="I11:I32" ca="1" si="3">IF(G11+I10&lt;0,0,G11+I10)</f>
        <v>0</v>
      </c>
      <c r="J11" s="282" t="s">
        <v>120</v>
      </c>
      <c r="K11" s="228">
        <f t="shared" ca="1" si="1"/>
        <v>200</v>
      </c>
      <c r="L11" s="200">
        <f t="shared" ref="L11:L32" ca="1" si="4">IF(J11="N",0,IF(I11=0,I10/ABS(G11)*D11+I10,F11))</f>
        <v>0</v>
      </c>
      <c r="M11" s="171"/>
    </row>
    <row r="12" spans="1:14" s="26" customFormat="1" ht="17.100000000000001" customHeight="1" x14ac:dyDescent="0.25">
      <c r="A12" s="186" t="s">
        <v>17</v>
      </c>
      <c r="B12" s="265"/>
      <c r="C12" s="234">
        <v>0.6</v>
      </c>
      <c r="D12" s="274">
        <f t="shared" si="0"/>
        <v>300</v>
      </c>
      <c r="E12" s="236">
        <v>2</v>
      </c>
      <c r="F12" s="238">
        <v>3000</v>
      </c>
      <c r="G12" s="313">
        <f t="shared" si="2"/>
        <v>-2700</v>
      </c>
      <c r="H12" s="314"/>
      <c r="I12" s="274">
        <f ca="1">IF(G12+I11&lt;0,0,G12+I11)</f>
        <v>0</v>
      </c>
      <c r="J12" s="282" t="s">
        <v>120</v>
      </c>
      <c r="K12" s="228">
        <f t="shared" ca="1" si="1"/>
        <v>300</v>
      </c>
      <c r="L12" s="200">
        <f t="shared" ca="1" si="4"/>
        <v>0</v>
      </c>
      <c r="M12" s="171"/>
    </row>
    <row r="13" spans="1:14" s="26" customFormat="1" ht="17.100000000000001" customHeight="1" x14ac:dyDescent="0.25">
      <c r="A13" s="186" t="s">
        <v>18</v>
      </c>
      <c r="B13" s="265"/>
      <c r="C13" s="234">
        <v>1.8</v>
      </c>
      <c r="D13" s="274">
        <f t="shared" si="0"/>
        <v>900</v>
      </c>
      <c r="E13" s="236">
        <v>2</v>
      </c>
      <c r="F13" s="238">
        <v>3000</v>
      </c>
      <c r="G13" s="313">
        <f t="shared" si="2"/>
        <v>-2100</v>
      </c>
      <c r="H13" s="314"/>
      <c r="I13" s="274">
        <f t="shared" ca="1" si="3"/>
        <v>0</v>
      </c>
      <c r="J13" s="282" t="s">
        <v>120</v>
      </c>
      <c r="K13" s="228">
        <f t="shared" ca="1" si="1"/>
        <v>900</v>
      </c>
      <c r="L13" s="200">
        <f t="shared" ca="1" si="4"/>
        <v>0</v>
      </c>
      <c r="M13" s="171"/>
    </row>
    <row r="14" spans="1:14" s="26" customFormat="1" ht="17.100000000000001" customHeight="1" x14ac:dyDescent="0.25">
      <c r="A14" s="186" t="s">
        <v>19</v>
      </c>
      <c r="B14" s="265"/>
      <c r="C14" s="234">
        <v>4.4000000000000004</v>
      </c>
      <c r="D14" s="274">
        <f t="shared" si="0"/>
        <v>2200.0000000000005</v>
      </c>
      <c r="E14" s="236">
        <v>2</v>
      </c>
      <c r="F14" s="238">
        <v>3000</v>
      </c>
      <c r="G14" s="313">
        <f t="shared" si="2"/>
        <v>-799.99999999999955</v>
      </c>
      <c r="H14" s="314"/>
      <c r="I14" s="274">
        <f t="shared" ca="1" si="3"/>
        <v>0</v>
      </c>
      <c r="J14" s="282" t="s">
        <v>120</v>
      </c>
      <c r="K14" s="228">
        <f t="shared" ca="1" si="1"/>
        <v>2200.0000000000005</v>
      </c>
      <c r="L14" s="200">
        <f t="shared" ca="1" si="4"/>
        <v>0</v>
      </c>
      <c r="M14" s="171"/>
    </row>
    <row r="15" spans="1:14" s="26" customFormat="1" ht="17.100000000000001" customHeight="1" x14ac:dyDescent="0.25">
      <c r="A15" s="186" t="s">
        <v>20</v>
      </c>
      <c r="B15" s="265"/>
      <c r="C15" s="234">
        <v>6.2</v>
      </c>
      <c r="D15" s="274">
        <f t="shared" si="0"/>
        <v>3100</v>
      </c>
      <c r="E15" s="236">
        <v>2</v>
      </c>
      <c r="F15" s="238">
        <v>3000</v>
      </c>
      <c r="G15" s="313">
        <f t="shared" si="2"/>
        <v>100</v>
      </c>
      <c r="H15" s="314"/>
      <c r="I15" s="274">
        <f ca="1">IF(G15+I14&lt;0,0,G15+I14)</f>
        <v>100</v>
      </c>
      <c r="J15" s="282" t="s">
        <v>120</v>
      </c>
      <c r="K15" s="48">
        <f ca="1">IF(J15="N",0,IF(I15=0,D15+I14,F15))</f>
        <v>3000</v>
      </c>
      <c r="L15" s="200">
        <f t="shared" ca="1" si="4"/>
        <v>3000</v>
      </c>
      <c r="M15" s="171"/>
      <c r="N15" s="202"/>
    </row>
    <row r="16" spans="1:14" s="26" customFormat="1" ht="17.100000000000001" customHeight="1" x14ac:dyDescent="0.25">
      <c r="A16" s="186" t="s">
        <v>21</v>
      </c>
      <c r="B16" s="265"/>
      <c r="C16" s="234">
        <v>7.2</v>
      </c>
      <c r="D16" s="274">
        <f t="shared" si="0"/>
        <v>3600</v>
      </c>
      <c r="E16" s="236">
        <v>2</v>
      </c>
      <c r="F16" s="238">
        <v>3000</v>
      </c>
      <c r="G16" s="313">
        <f t="shared" si="2"/>
        <v>600</v>
      </c>
      <c r="H16" s="314"/>
      <c r="I16" s="274">
        <f ca="1">IF(G16+I15&lt;0,0,G16+I15)</f>
        <v>700</v>
      </c>
      <c r="J16" s="282" t="s">
        <v>120</v>
      </c>
      <c r="K16" s="228">
        <f t="shared" ref="K16:K32" ca="1" si="5">IF(J16="N",0,IF(I16=0,D16+I15,F16))</f>
        <v>3000</v>
      </c>
      <c r="L16" s="200">
        <f t="shared" ca="1" si="4"/>
        <v>3000</v>
      </c>
      <c r="M16" s="171"/>
    </row>
    <row r="17" spans="1:13" s="26" customFormat="1" ht="17.100000000000001" customHeight="1" x14ac:dyDescent="0.25">
      <c r="A17" s="186" t="s">
        <v>22</v>
      </c>
      <c r="B17" s="265"/>
      <c r="C17" s="234">
        <v>5.6</v>
      </c>
      <c r="D17" s="274">
        <f t="shared" si="0"/>
        <v>2800</v>
      </c>
      <c r="E17" s="236">
        <v>2</v>
      </c>
      <c r="F17" s="238">
        <v>3000</v>
      </c>
      <c r="G17" s="313">
        <f t="shared" si="2"/>
        <v>-200</v>
      </c>
      <c r="H17" s="314"/>
      <c r="I17" s="274">
        <f t="shared" ca="1" si="3"/>
        <v>500</v>
      </c>
      <c r="J17" s="282" t="s">
        <v>120</v>
      </c>
      <c r="K17" s="228">
        <f t="shared" ca="1" si="5"/>
        <v>3000</v>
      </c>
      <c r="L17" s="200">
        <f t="shared" ca="1" si="4"/>
        <v>3000</v>
      </c>
      <c r="M17" s="171"/>
    </row>
    <row r="18" spans="1:13" s="26" customFormat="1" ht="17.100000000000001" customHeight="1" x14ac:dyDescent="0.25">
      <c r="A18" s="186" t="s">
        <v>23</v>
      </c>
      <c r="B18" s="265"/>
      <c r="C18" s="234">
        <v>5</v>
      </c>
      <c r="D18" s="274">
        <f t="shared" si="0"/>
        <v>2500</v>
      </c>
      <c r="E18" s="236">
        <v>2</v>
      </c>
      <c r="F18" s="238">
        <v>3000</v>
      </c>
      <c r="G18" s="313">
        <f t="shared" si="2"/>
        <v>-500</v>
      </c>
      <c r="H18" s="314"/>
      <c r="I18" s="274">
        <f t="shared" ca="1" si="3"/>
        <v>0</v>
      </c>
      <c r="J18" s="283" t="s">
        <v>120</v>
      </c>
      <c r="K18" s="228">
        <f t="shared" ca="1" si="5"/>
        <v>3000</v>
      </c>
      <c r="L18" s="200">
        <f t="shared" ca="1" si="4"/>
        <v>3000</v>
      </c>
      <c r="M18" s="171"/>
    </row>
    <row r="19" spans="1:13" s="26" customFormat="1" ht="17.100000000000001" customHeight="1" x14ac:dyDescent="0.25">
      <c r="A19" s="186" t="s">
        <v>24</v>
      </c>
      <c r="B19" s="265"/>
      <c r="C19" s="234">
        <v>4.8</v>
      </c>
      <c r="D19" s="274">
        <f t="shared" si="0"/>
        <v>2400</v>
      </c>
      <c r="E19" s="236">
        <v>2</v>
      </c>
      <c r="F19" s="238">
        <v>3000</v>
      </c>
      <c r="G19" s="313">
        <f t="shared" si="2"/>
        <v>-600</v>
      </c>
      <c r="H19" s="314"/>
      <c r="I19" s="274">
        <f t="shared" ca="1" si="3"/>
        <v>0</v>
      </c>
      <c r="J19" s="283" t="s">
        <v>120</v>
      </c>
      <c r="K19" s="228">
        <f t="shared" ca="1" si="5"/>
        <v>2400</v>
      </c>
      <c r="L19" s="200">
        <f t="shared" ca="1" si="4"/>
        <v>0</v>
      </c>
      <c r="M19" s="171"/>
    </row>
    <row r="20" spans="1:13" s="26" customFormat="1" ht="17.100000000000001" customHeight="1" x14ac:dyDescent="0.25">
      <c r="A20" s="186" t="s">
        <v>25</v>
      </c>
      <c r="B20" s="265"/>
      <c r="C20" s="234">
        <v>5.0999999999999996</v>
      </c>
      <c r="D20" s="274">
        <f t="shared" si="0"/>
        <v>2549.9999999999995</v>
      </c>
      <c r="E20" s="236">
        <v>2</v>
      </c>
      <c r="F20" s="238">
        <v>3000</v>
      </c>
      <c r="G20" s="313">
        <f t="shared" si="2"/>
        <v>-450.00000000000045</v>
      </c>
      <c r="H20" s="314"/>
      <c r="I20" s="274">
        <f t="shared" ca="1" si="3"/>
        <v>0</v>
      </c>
      <c r="J20" s="283" t="s">
        <v>120</v>
      </c>
      <c r="K20" s="228">
        <f t="shared" ca="1" si="5"/>
        <v>2549.9999999999995</v>
      </c>
      <c r="L20" s="200">
        <f t="shared" ca="1" si="4"/>
        <v>0</v>
      </c>
      <c r="M20" s="171"/>
    </row>
    <row r="21" spans="1:13" s="26" customFormat="1" ht="17.100000000000001" customHeight="1" x14ac:dyDescent="0.25">
      <c r="A21" s="186" t="s">
        <v>26</v>
      </c>
      <c r="B21" s="265"/>
      <c r="C21" s="234">
        <v>5.3</v>
      </c>
      <c r="D21" s="274">
        <f t="shared" si="0"/>
        <v>2650</v>
      </c>
      <c r="E21" s="236">
        <v>2</v>
      </c>
      <c r="F21" s="238">
        <v>3000</v>
      </c>
      <c r="G21" s="313">
        <f t="shared" si="2"/>
        <v>-350</v>
      </c>
      <c r="H21" s="314"/>
      <c r="I21" s="274">
        <f t="shared" ca="1" si="3"/>
        <v>0</v>
      </c>
      <c r="J21" s="283" t="s">
        <v>120</v>
      </c>
      <c r="K21" s="228">
        <f t="shared" ca="1" si="5"/>
        <v>2650</v>
      </c>
      <c r="L21" s="200">
        <f t="shared" ca="1" si="4"/>
        <v>0</v>
      </c>
      <c r="M21" s="171"/>
    </row>
    <row r="22" spans="1:13" s="26" customFormat="1" ht="17.100000000000001" customHeight="1" x14ac:dyDescent="0.25">
      <c r="A22" s="186" t="s">
        <v>15</v>
      </c>
      <c r="B22" s="265"/>
      <c r="C22" s="234">
        <v>5.5</v>
      </c>
      <c r="D22" s="274">
        <f t="shared" si="0"/>
        <v>2750</v>
      </c>
      <c r="E22" s="236">
        <v>2</v>
      </c>
      <c r="F22" s="238">
        <v>3000</v>
      </c>
      <c r="G22" s="313">
        <f t="shared" si="2"/>
        <v>-250</v>
      </c>
      <c r="H22" s="314"/>
      <c r="I22" s="274">
        <f t="shared" ca="1" si="3"/>
        <v>0</v>
      </c>
      <c r="J22" s="283" t="s">
        <v>120</v>
      </c>
      <c r="K22" s="228">
        <f t="shared" ca="1" si="5"/>
        <v>2750</v>
      </c>
      <c r="L22" s="200">
        <f t="shared" ca="1" si="4"/>
        <v>0</v>
      </c>
      <c r="M22" s="171"/>
    </row>
    <row r="23" spans="1:13" s="26" customFormat="1" ht="17.100000000000001" customHeight="1" x14ac:dyDescent="0.25">
      <c r="A23" s="186" t="s">
        <v>16</v>
      </c>
      <c r="B23" s="265"/>
      <c r="C23" s="234">
        <v>5.6</v>
      </c>
      <c r="D23" s="274">
        <f t="shared" si="0"/>
        <v>2800</v>
      </c>
      <c r="E23" s="236">
        <v>2</v>
      </c>
      <c r="F23" s="238">
        <v>3000</v>
      </c>
      <c r="G23" s="313">
        <f t="shared" si="2"/>
        <v>-200</v>
      </c>
      <c r="H23" s="314"/>
      <c r="I23" s="274">
        <f t="shared" ca="1" si="3"/>
        <v>0</v>
      </c>
      <c r="J23" s="283" t="s">
        <v>120</v>
      </c>
      <c r="K23" s="228">
        <f t="shared" ca="1" si="5"/>
        <v>2800</v>
      </c>
      <c r="L23" s="200">
        <f t="shared" ca="1" si="4"/>
        <v>0</v>
      </c>
      <c r="M23" s="171"/>
    </row>
    <row r="24" spans="1:13" s="26" customFormat="1" ht="17.100000000000001" customHeight="1" x14ac:dyDescent="0.25">
      <c r="A24" s="186" t="s">
        <v>17</v>
      </c>
      <c r="B24" s="265"/>
      <c r="C24" s="234">
        <v>6.5</v>
      </c>
      <c r="D24" s="274">
        <f t="shared" si="0"/>
        <v>3250</v>
      </c>
      <c r="E24" s="236">
        <v>2</v>
      </c>
      <c r="F24" s="238">
        <v>3000</v>
      </c>
      <c r="G24" s="313">
        <f t="shared" si="2"/>
        <v>250</v>
      </c>
      <c r="H24" s="314"/>
      <c r="I24" s="274">
        <f t="shared" ca="1" si="3"/>
        <v>250</v>
      </c>
      <c r="J24" s="283" t="s">
        <v>120</v>
      </c>
      <c r="K24" s="228">
        <f t="shared" ca="1" si="5"/>
        <v>3000</v>
      </c>
      <c r="L24" s="200">
        <f t="shared" ca="1" si="4"/>
        <v>3000</v>
      </c>
      <c r="M24" s="171"/>
    </row>
    <row r="25" spans="1:13" s="26" customFormat="1" ht="17.100000000000001" customHeight="1" x14ac:dyDescent="0.25">
      <c r="A25" s="186" t="s">
        <v>18</v>
      </c>
      <c r="B25" s="265"/>
      <c r="C25" s="234">
        <v>6.9</v>
      </c>
      <c r="D25" s="274">
        <f t="shared" si="0"/>
        <v>3450</v>
      </c>
      <c r="E25" s="236">
        <v>2</v>
      </c>
      <c r="F25" s="238">
        <v>3000</v>
      </c>
      <c r="G25" s="313">
        <f t="shared" si="2"/>
        <v>450</v>
      </c>
      <c r="H25" s="314"/>
      <c r="I25" s="274">
        <f t="shared" ca="1" si="3"/>
        <v>700</v>
      </c>
      <c r="J25" s="282" t="s">
        <v>120</v>
      </c>
      <c r="K25" s="228">
        <f t="shared" ca="1" si="5"/>
        <v>3000</v>
      </c>
      <c r="L25" s="200">
        <f t="shared" ca="1" si="4"/>
        <v>3000</v>
      </c>
      <c r="M25" s="171"/>
    </row>
    <row r="26" spans="1:13" s="26" customFormat="1" ht="17.100000000000001" customHeight="1" x14ac:dyDescent="0.25">
      <c r="A26" s="186" t="s">
        <v>19</v>
      </c>
      <c r="B26" s="265"/>
      <c r="C26" s="234">
        <v>6.4</v>
      </c>
      <c r="D26" s="274">
        <f t="shared" si="0"/>
        <v>3200</v>
      </c>
      <c r="E26" s="236">
        <v>2</v>
      </c>
      <c r="F26" s="238">
        <v>3000</v>
      </c>
      <c r="G26" s="313">
        <f t="shared" si="2"/>
        <v>200</v>
      </c>
      <c r="H26" s="314"/>
      <c r="I26" s="274">
        <f t="shared" ca="1" si="3"/>
        <v>900</v>
      </c>
      <c r="J26" s="282" t="s">
        <v>120</v>
      </c>
      <c r="K26" s="228">
        <f t="shared" ca="1" si="5"/>
        <v>3000</v>
      </c>
      <c r="L26" s="200">
        <f t="shared" ca="1" si="4"/>
        <v>3000</v>
      </c>
      <c r="M26" s="171"/>
    </row>
    <row r="27" spans="1:13" s="42" customFormat="1" ht="17.100000000000001" customHeight="1" x14ac:dyDescent="0.25">
      <c r="A27" s="276" t="s">
        <v>20</v>
      </c>
      <c r="B27" s="277"/>
      <c r="C27" s="284">
        <v>5.9</v>
      </c>
      <c r="D27" s="278">
        <f t="shared" si="0"/>
        <v>2950</v>
      </c>
      <c r="E27" s="285">
        <v>2</v>
      </c>
      <c r="F27" s="238">
        <v>3000</v>
      </c>
      <c r="G27" s="307">
        <f t="shared" si="2"/>
        <v>-50</v>
      </c>
      <c r="H27" s="308"/>
      <c r="I27" s="278">
        <f t="shared" ca="1" si="3"/>
        <v>850</v>
      </c>
      <c r="J27" s="282" t="s">
        <v>120</v>
      </c>
      <c r="K27" s="278">
        <f t="shared" ca="1" si="5"/>
        <v>3000</v>
      </c>
      <c r="L27" s="200">
        <f t="shared" ca="1" si="4"/>
        <v>3000</v>
      </c>
      <c r="M27" s="280"/>
    </row>
    <row r="28" spans="1:13" s="42" customFormat="1" ht="17.100000000000001" customHeight="1" x14ac:dyDescent="0.25">
      <c r="A28" s="276" t="s">
        <v>21</v>
      </c>
      <c r="B28" s="277"/>
      <c r="C28" s="284">
        <v>4.9000000000000004</v>
      </c>
      <c r="D28" s="278">
        <f t="shared" si="0"/>
        <v>2450.0000000000005</v>
      </c>
      <c r="E28" s="285">
        <v>2</v>
      </c>
      <c r="F28" s="238">
        <v>3000</v>
      </c>
      <c r="G28" s="307">
        <f t="shared" si="2"/>
        <v>-549.99999999999955</v>
      </c>
      <c r="H28" s="308"/>
      <c r="I28" s="278">
        <f t="shared" ca="1" si="3"/>
        <v>300.00000000000045</v>
      </c>
      <c r="J28" s="282" t="s">
        <v>120</v>
      </c>
      <c r="K28" s="278">
        <f ca="1">IF(J28="N",0,IF(I28=0,D28+I27,F28))</f>
        <v>3000</v>
      </c>
      <c r="L28" s="200">
        <f t="shared" ca="1" si="4"/>
        <v>3000</v>
      </c>
      <c r="M28" s="280"/>
    </row>
    <row r="29" spans="1:13" s="42" customFormat="1" ht="17.100000000000001" customHeight="1" x14ac:dyDescent="0.25">
      <c r="A29" s="276" t="s">
        <v>22</v>
      </c>
      <c r="B29" s="277"/>
      <c r="C29" s="284">
        <v>4</v>
      </c>
      <c r="D29" s="278">
        <f t="shared" si="0"/>
        <v>2000</v>
      </c>
      <c r="E29" s="285">
        <v>2</v>
      </c>
      <c r="F29" s="238">
        <v>3000</v>
      </c>
      <c r="G29" s="307">
        <f t="shared" si="2"/>
        <v>-1000</v>
      </c>
      <c r="H29" s="308"/>
      <c r="I29" s="278">
        <f t="shared" ca="1" si="3"/>
        <v>0</v>
      </c>
      <c r="J29" s="282" t="s">
        <v>120</v>
      </c>
      <c r="K29" s="278">
        <f t="shared" ca="1" si="5"/>
        <v>2300.0000000000005</v>
      </c>
      <c r="L29" s="200">
        <f t="shared" ca="1" si="4"/>
        <v>900.00000000000136</v>
      </c>
      <c r="M29" s="280"/>
    </row>
    <row r="30" spans="1:13" s="42" customFormat="1" ht="17.100000000000001" customHeight="1" x14ac:dyDescent="0.25">
      <c r="A30" s="276" t="s">
        <v>23</v>
      </c>
      <c r="B30" s="277"/>
      <c r="C30" s="284">
        <v>3</v>
      </c>
      <c r="D30" s="278">
        <f t="shared" si="0"/>
        <v>1500</v>
      </c>
      <c r="E30" s="285">
        <v>2</v>
      </c>
      <c r="F30" s="238">
        <v>3000</v>
      </c>
      <c r="G30" s="307">
        <f t="shared" si="2"/>
        <v>-1500</v>
      </c>
      <c r="H30" s="308"/>
      <c r="I30" s="278">
        <f t="shared" ca="1" si="3"/>
        <v>0</v>
      </c>
      <c r="J30" s="282" t="s">
        <v>120</v>
      </c>
      <c r="K30" s="278">
        <f t="shared" ca="1" si="5"/>
        <v>1500</v>
      </c>
      <c r="L30" s="279">
        <f t="shared" ca="1" si="4"/>
        <v>0</v>
      </c>
      <c r="M30" s="280"/>
    </row>
    <row r="31" spans="1:13" s="26" customFormat="1" ht="17.100000000000001" customHeight="1" x14ac:dyDescent="0.25">
      <c r="A31" s="186" t="s">
        <v>24</v>
      </c>
      <c r="B31" s="265"/>
      <c r="C31" s="234">
        <v>2.1</v>
      </c>
      <c r="D31" s="274">
        <f t="shared" si="0"/>
        <v>1050</v>
      </c>
      <c r="E31" s="236">
        <v>2</v>
      </c>
      <c r="F31" s="238">
        <v>3000</v>
      </c>
      <c r="G31" s="313">
        <f t="shared" si="2"/>
        <v>-1950</v>
      </c>
      <c r="H31" s="314"/>
      <c r="I31" s="274">
        <f t="shared" ca="1" si="3"/>
        <v>0</v>
      </c>
      <c r="J31" s="282" t="s">
        <v>120</v>
      </c>
      <c r="K31" s="228">
        <f t="shared" ca="1" si="5"/>
        <v>1050</v>
      </c>
      <c r="L31" s="200">
        <f t="shared" ca="1" si="4"/>
        <v>0</v>
      </c>
      <c r="M31" s="171"/>
    </row>
    <row r="32" spans="1:13" s="26" customFormat="1" ht="17.100000000000001" customHeight="1" x14ac:dyDescent="0.25">
      <c r="A32" s="186" t="s">
        <v>27</v>
      </c>
      <c r="B32" s="265"/>
      <c r="C32" s="234">
        <v>1.6</v>
      </c>
      <c r="D32" s="274">
        <f t="shared" si="0"/>
        <v>800</v>
      </c>
      <c r="E32" s="236">
        <v>2</v>
      </c>
      <c r="F32" s="238">
        <v>3000</v>
      </c>
      <c r="G32" s="313">
        <f t="shared" si="2"/>
        <v>-2200</v>
      </c>
      <c r="H32" s="314"/>
      <c r="I32" s="288">
        <f t="shared" ca="1" si="3"/>
        <v>0</v>
      </c>
      <c r="J32" s="282" t="s">
        <v>120</v>
      </c>
      <c r="K32" s="228">
        <f t="shared" ca="1" si="5"/>
        <v>800</v>
      </c>
      <c r="L32" s="200">
        <f t="shared" ca="1" si="4"/>
        <v>0</v>
      </c>
      <c r="M32" s="171"/>
    </row>
    <row r="33" spans="1:13" s="26" customFormat="1" ht="17.100000000000001" customHeight="1" x14ac:dyDescent="0.25">
      <c r="A33" s="187"/>
      <c r="B33" s="188"/>
      <c r="C33" s="154"/>
      <c r="D33" s="21"/>
      <c r="E33" s="155"/>
      <c r="F33" s="21"/>
      <c r="G33" s="313"/>
      <c r="H33" s="314"/>
      <c r="I33" s="21"/>
      <c r="J33" s="21"/>
      <c r="K33" s="21"/>
      <c r="L33" s="21"/>
      <c r="M33" s="156"/>
    </row>
    <row r="34" spans="1:13" s="26" customFormat="1" ht="17.100000000000001" customHeight="1" thickBot="1" x14ac:dyDescent="0.3">
      <c r="A34" s="289"/>
      <c r="B34" s="290"/>
      <c r="C34" s="291"/>
      <c r="D34" s="292"/>
      <c r="E34" s="293"/>
      <c r="F34" s="292"/>
      <c r="G34" s="309"/>
      <c r="H34" s="310"/>
      <c r="I34" s="292"/>
      <c r="J34" s="292"/>
      <c r="K34" s="292"/>
      <c r="L34" s="292"/>
      <c r="M34" s="294"/>
    </row>
    <row r="35" spans="1:13" s="26" customFormat="1" ht="17.100000000000001" customHeight="1" thickBot="1" x14ac:dyDescent="0.3">
      <c r="A35" s="295" t="s">
        <v>28</v>
      </c>
      <c r="B35" s="296"/>
      <c r="C35" s="297">
        <f>SUM(C9:C34)</f>
        <v>100</v>
      </c>
      <c r="D35" s="298">
        <f>SUM(D9:D34)</f>
        <v>50000</v>
      </c>
      <c r="E35" s="299"/>
      <c r="F35" s="298"/>
      <c r="G35" s="311"/>
      <c r="H35" s="312"/>
      <c r="I35" s="298"/>
      <c r="J35" s="298"/>
      <c r="K35" s="300">
        <f ca="1">SUM(K9:K34)</f>
        <v>50000</v>
      </c>
      <c r="L35" s="301">
        <f ca="1">SUM(L9:L34)</f>
        <v>27900</v>
      </c>
      <c r="M35" s="302"/>
    </row>
    <row r="36" spans="1:13" s="26" customFormat="1" ht="15" customHeight="1" x14ac:dyDescent="0.25">
      <c r="B36" s="49"/>
      <c r="C36" s="100"/>
      <c r="D36" s="51"/>
      <c r="E36" s="52"/>
      <c r="F36" s="53"/>
      <c r="I36" s="52"/>
      <c r="J36" s="52"/>
      <c r="K36" s="52"/>
      <c r="L36" s="101"/>
      <c r="M36" s="101"/>
    </row>
    <row r="37" spans="1:13" s="26" customFormat="1" ht="15" customHeight="1" x14ac:dyDescent="0.25">
      <c r="B37" s="324" t="s">
        <v>118</v>
      </c>
      <c r="C37" s="325"/>
      <c r="D37" s="325"/>
      <c r="E37" s="325"/>
      <c r="F37" s="325"/>
      <c r="G37" s="325"/>
      <c r="H37" s="325"/>
      <c r="I37" s="325"/>
      <c r="J37" s="325"/>
      <c r="K37" s="325"/>
      <c r="L37" s="101"/>
      <c r="M37" s="101"/>
    </row>
    <row r="38" spans="1:13" s="26" customFormat="1" ht="15" customHeight="1" x14ac:dyDescent="0.25">
      <c r="B38" s="49"/>
      <c r="C38" s="100"/>
      <c r="D38" s="51"/>
      <c r="E38" s="52"/>
      <c r="F38" s="53"/>
      <c r="I38" s="52"/>
      <c r="J38" s="52"/>
      <c r="K38" s="52"/>
      <c r="L38" s="101"/>
      <c r="M38" s="101"/>
    </row>
    <row r="39" spans="1:13" s="26" customFormat="1" ht="15" customHeight="1" x14ac:dyDescent="0.25">
      <c r="B39" s="49"/>
      <c r="C39" s="100"/>
      <c r="D39" s="51"/>
      <c r="E39" s="52"/>
      <c r="F39" s="53"/>
      <c r="I39" s="52"/>
      <c r="J39" s="52"/>
      <c r="K39" s="52"/>
      <c r="L39" s="101"/>
      <c r="M39" s="101"/>
    </row>
    <row r="40" spans="1:13" s="26" customFormat="1" ht="15" customHeight="1" x14ac:dyDescent="0.25">
      <c r="B40" s="49"/>
      <c r="C40" s="100"/>
      <c r="D40" s="51"/>
      <c r="E40" s="52"/>
      <c r="F40" s="53"/>
      <c r="I40" s="52"/>
      <c r="J40" s="52"/>
      <c r="K40" s="52"/>
      <c r="L40" s="101"/>
      <c r="M40" s="101"/>
    </row>
    <row r="41" spans="1:13" s="26" customFormat="1" ht="15" customHeight="1" x14ac:dyDescent="0.25">
      <c r="A41" s="9"/>
      <c r="B41"/>
      <c r="C41" s="50"/>
      <c r="D41" s="51"/>
      <c r="E41" s="52"/>
      <c r="F41" s="53"/>
      <c r="I41" s="52"/>
      <c r="J41" s="52"/>
      <c r="K41" s="52"/>
      <c r="L41" s="52"/>
      <c r="M41" s="51"/>
    </row>
    <row r="42" spans="1:13" ht="15.6" x14ac:dyDescent="0.3">
      <c r="A42" s="323" t="s">
        <v>29</v>
      </c>
      <c r="B42" s="323"/>
      <c r="C42" s="304"/>
      <c r="D42" s="286" t="s">
        <v>191</v>
      </c>
      <c r="E42" s="222"/>
      <c r="F42" s="222"/>
      <c r="G42" s="222"/>
      <c r="H42" s="222"/>
      <c r="I42" s="222"/>
      <c r="J42" s="222"/>
      <c r="K42" s="27" t="s">
        <v>30</v>
      </c>
      <c r="L42" s="326">
        <v>42005</v>
      </c>
      <c r="M42" s="327"/>
    </row>
    <row r="43" spans="1:13" ht="3.75" customHeight="1" x14ac:dyDescent="0.25">
      <c r="A43"/>
      <c r="B43" s="10"/>
      <c r="C43"/>
    </row>
    <row r="44" spans="1:13" ht="15.6" x14ac:dyDescent="0.3">
      <c r="B44" s="6" t="s">
        <v>31</v>
      </c>
      <c r="C44" s="303"/>
      <c r="D44" s="286" t="s">
        <v>192</v>
      </c>
      <c r="E44" s="222"/>
      <c r="F44" s="222"/>
      <c r="G44" s="222"/>
      <c r="H44" s="222"/>
      <c r="I44" s="222"/>
      <c r="J44" s="222"/>
      <c r="K44" s="222"/>
      <c r="L44" s="222"/>
      <c r="M44" s="222"/>
    </row>
    <row r="45" spans="1:13" ht="15" customHeight="1" x14ac:dyDescent="0.25"/>
  </sheetData>
  <mergeCells count="35">
    <mergeCell ref="A8:B8"/>
    <mergeCell ref="L8:M8"/>
    <mergeCell ref="A42:B42"/>
    <mergeCell ref="B37:K37"/>
    <mergeCell ref="L42:M42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D3:G3"/>
    <mergeCell ref="G7:H7"/>
    <mergeCell ref="G8:H8"/>
    <mergeCell ref="G10:H10"/>
    <mergeCell ref="G22:H22"/>
    <mergeCell ref="G9:H9"/>
    <mergeCell ref="G23:H23"/>
    <mergeCell ref="G24:H24"/>
    <mergeCell ref="G25:H25"/>
    <mergeCell ref="G26:H26"/>
    <mergeCell ref="G27:H27"/>
    <mergeCell ref="G28:H28"/>
    <mergeCell ref="G29:H29"/>
    <mergeCell ref="G34:H34"/>
    <mergeCell ref="G35:H35"/>
    <mergeCell ref="G30:H30"/>
    <mergeCell ref="G31:H31"/>
    <mergeCell ref="G32:H32"/>
    <mergeCell ref="G33:H33"/>
  </mergeCells>
  <phoneticPr fontId="0" type="noConversion"/>
  <printOptions verticalCentered="1"/>
  <pageMargins left="0.75" right="0.25" top="0.40633333333333299" bottom="0.75" header="0.5" footer="0.25"/>
  <pageSetup scale="93" orientation="portrait" r:id="rId1"/>
  <headerFooter alignWithMargins="0">
    <oddFooter>&amp;L&amp;8&amp;F, &amp;A&amp;R&amp;8Prepared by NJDOT Capital Program Support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0"/>
  <sheetViews>
    <sheetView showZeros="0" topLeftCell="A13" zoomScaleNormal="100" workbookViewId="0">
      <selection activeCell="O51" sqref="O51"/>
    </sheetView>
  </sheetViews>
  <sheetFormatPr defaultRowHeight="13.2" x14ac:dyDescent="0.25"/>
  <cols>
    <col min="1" max="1" width="2.6640625" style="45" customWidth="1"/>
    <col min="2" max="11" width="2.5546875" style="30" customWidth="1"/>
    <col min="12" max="36" width="2.5546875" style="31" customWidth="1"/>
    <col min="37" max="37" width="2.5546875" customWidth="1"/>
    <col min="38" max="38" width="2.6640625" hidden="1" customWidth="1"/>
    <col min="39" max="41" width="2.6640625" customWidth="1"/>
  </cols>
  <sheetData>
    <row r="1" spans="1:48" s="80" customFormat="1" ht="17.399999999999999" x14ac:dyDescent="0.3">
      <c r="A1" s="78"/>
      <c r="B1" s="79" t="s">
        <v>32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L1"/>
      <c r="AM1"/>
      <c r="AN1"/>
      <c r="AO1"/>
      <c r="AP1"/>
      <c r="AQ1"/>
      <c r="AR1"/>
      <c r="AS1"/>
      <c r="AT1"/>
      <c r="AU1"/>
      <c r="AV1"/>
    </row>
    <row r="2" spans="1:48" ht="24.75" customHeight="1" thickBo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48" s="121" customFormat="1" ht="13.8" thickBot="1" x14ac:dyDescent="0.3">
      <c r="A3" s="108"/>
      <c r="B3" s="129" t="s">
        <v>33</v>
      </c>
      <c r="C3" s="130"/>
      <c r="D3" s="130"/>
      <c r="E3" s="131"/>
      <c r="F3" s="130" t="s">
        <v>34</v>
      </c>
      <c r="G3" s="130"/>
      <c r="H3" s="130"/>
      <c r="I3" s="130"/>
      <c r="J3" s="131"/>
      <c r="K3" s="130" t="s">
        <v>35</v>
      </c>
      <c r="L3" s="130"/>
      <c r="M3" s="130"/>
      <c r="N3" s="130"/>
      <c r="O3" s="131"/>
      <c r="P3" s="130" t="s">
        <v>36</v>
      </c>
      <c r="Q3" s="130"/>
      <c r="R3" s="131"/>
      <c r="S3" s="130" t="s">
        <v>37</v>
      </c>
      <c r="T3" s="130"/>
      <c r="U3" s="130"/>
      <c r="V3" s="130"/>
      <c r="W3" s="131"/>
      <c r="X3" s="130" t="s">
        <v>38</v>
      </c>
      <c r="Y3" s="130"/>
      <c r="Z3" s="130"/>
      <c r="AA3" s="130"/>
      <c r="AB3" s="131"/>
      <c r="AC3" s="130" t="s">
        <v>39</v>
      </c>
      <c r="AD3" s="130"/>
      <c r="AE3" s="130"/>
      <c r="AF3" s="130"/>
      <c r="AG3" s="131"/>
      <c r="AH3" s="130" t="s">
        <v>40</v>
      </c>
      <c r="AI3" s="130"/>
      <c r="AJ3" s="130"/>
      <c r="AK3" s="132"/>
      <c r="AM3"/>
      <c r="AN3"/>
      <c r="AO3"/>
      <c r="AP3"/>
      <c r="AQ3"/>
      <c r="AR3"/>
      <c r="AS3"/>
      <c r="AT3"/>
      <c r="AU3"/>
      <c r="AV3"/>
    </row>
    <row r="4" spans="1:48" s="16" customFormat="1" ht="79.8" thickBot="1" x14ac:dyDescent="0.3">
      <c r="A4" s="136"/>
      <c r="B4" s="37" t="s">
        <v>147</v>
      </c>
      <c r="C4" s="37"/>
      <c r="D4" s="32"/>
      <c r="E4" s="36"/>
      <c r="F4" s="32" t="s">
        <v>148</v>
      </c>
      <c r="G4" s="126"/>
      <c r="H4" s="32"/>
      <c r="I4" s="32"/>
      <c r="J4" s="36"/>
      <c r="K4" s="201" t="s">
        <v>149</v>
      </c>
      <c r="L4" s="126"/>
      <c r="M4" s="32"/>
      <c r="N4" s="32"/>
      <c r="O4" s="36"/>
      <c r="P4" s="32" t="s">
        <v>150</v>
      </c>
      <c r="Q4" s="126"/>
      <c r="R4" s="36"/>
      <c r="S4" s="32" t="s">
        <v>151</v>
      </c>
      <c r="T4" s="32"/>
      <c r="U4" s="126"/>
      <c r="V4" s="126"/>
      <c r="W4" s="36"/>
      <c r="X4" s="73" t="s">
        <v>152</v>
      </c>
      <c r="Y4" s="32"/>
      <c r="Z4" s="32"/>
      <c r="AA4" s="126"/>
      <c r="AB4" s="36"/>
      <c r="AC4" s="32" t="s">
        <v>153</v>
      </c>
      <c r="AD4" s="32"/>
      <c r="AE4" s="32"/>
      <c r="AF4" s="126"/>
      <c r="AG4" s="36"/>
      <c r="AH4" s="32" t="s">
        <v>154</v>
      </c>
      <c r="AI4" s="32"/>
      <c r="AJ4" s="32"/>
      <c r="AK4" s="127"/>
      <c r="AL4" s="9"/>
      <c r="AM4"/>
      <c r="AN4"/>
      <c r="AO4"/>
      <c r="AP4"/>
      <c r="AQ4"/>
      <c r="AR4"/>
      <c r="AS4"/>
      <c r="AT4"/>
      <c r="AU4"/>
      <c r="AV4"/>
    </row>
    <row r="5" spans="1:48" s="26" customFormat="1" ht="20.100000000000001" customHeight="1" x14ac:dyDescent="0.25">
      <c r="A5" s="124">
        <v>1</v>
      </c>
      <c r="B5" s="334" t="s">
        <v>183</v>
      </c>
      <c r="C5" s="335"/>
      <c r="D5" s="335"/>
      <c r="E5" s="336"/>
      <c r="F5" s="383">
        <f>'3.1 Work Zone Analysis'!L4</f>
        <v>3000</v>
      </c>
      <c r="G5" s="384"/>
      <c r="H5" s="384"/>
      <c r="I5" s="384"/>
      <c r="J5" s="320"/>
      <c r="K5" s="319">
        <f>'3.1 Work Zone Analysis'!L3</f>
        <v>6000</v>
      </c>
      <c r="L5" s="384"/>
      <c r="M5" s="384"/>
      <c r="N5" s="384"/>
      <c r="O5" s="320"/>
      <c r="P5" s="385">
        <f>F5/K5</f>
        <v>0.5</v>
      </c>
      <c r="Q5" s="386"/>
      <c r="R5" s="387"/>
      <c r="S5" s="388">
        <f>ROUND(3.587*P5^3+7.681*P5^2+14.407*P5,0)</f>
        <v>10</v>
      </c>
      <c r="T5" s="390"/>
      <c r="U5" s="390"/>
      <c r="V5" s="390"/>
      <c r="W5" s="391"/>
      <c r="X5" s="344">
        <f>'3.1 Work Zone Analysis'!D4</f>
        <v>55</v>
      </c>
      <c r="Y5" s="345"/>
      <c r="Z5" s="345"/>
      <c r="AA5" s="345"/>
      <c r="AB5" s="346"/>
      <c r="AC5" s="350">
        <v>700</v>
      </c>
      <c r="AD5" s="351"/>
      <c r="AE5" s="351"/>
      <c r="AF5" s="351"/>
      <c r="AG5" s="352"/>
      <c r="AH5" s="388">
        <f>'3.1 Work Zone Analysis'!L5</f>
        <v>3</v>
      </c>
      <c r="AI5" s="384"/>
      <c r="AJ5" s="384"/>
      <c r="AK5" s="389"/>
      <c r="AL5" s="9"/>
      <c r="AM5"/>
      <c r="AN5"/>
      <c r="AO5"/>
      <c r="AP5"/>
      <c r="AQ5"/>
      <c r="AR5"/>
      <c r="AS5"/>
      <c r="AT5"/>
      <c r="AU5"/>
      <c r="AV5"/>
    </row>
    <row r="6" spans="1:48" s="26" customFormat="1" ht="20.100000000000001" customHeight="1" x14ac:dyDescent="0.25">
      <c r="A6" s="125">
        <v>2</v>
      </c>
      <c r="B6" s="337" t="s">
        <v>182</v>
      </c>
      <c r="C6" s="338"/>
      <c r="D6" s="338"/>
      <c r="E6" s="339"/>
      <c r="F6" s="377">
        <f>'3.1 Work Zone Analysis'!$L$4</f>
        <v>3000</v>
      </c>
      <c r="G6" s="329"/>
      <c r="H6" s="329"/>
      <c r="I6" s="329"/>
      <c r="J6" s="330"/>
      <c r="K6" s="313">
        <f>'3.1 Work Zone Analysis'!$L$3</f>
        <v>6000</v>
      </c>
      <c r="L6" s="329"/>
      <c r="M6" s="329"/>
      <c r="N6" s="329"/>
      <c r="O6" s="330"/>
      <c r="P6" s="378">
        <f>F6/K6</f>
        <v>0.5</v>
      </c>
      <c r="Q6" s="379"/>
      <c r="R6" s="380"/>
      <c r="S6" s="356">
        <f>ROUND(3.587*P6^3+7.681*P6^2+14.407*P6,0)</f>
        <v>10</v>
      </c>
      <c r="T6" s="357"/>
      <c r="U6" s="357"/>
      <c r="V6" s="357"/>
      <c r="W6" s="358"/>
      <c r="X6" s="347">
        <f>'3.1 Work Zone Analysis'!D4</f>
        <v>55</v>
      </c>
      <c r="Y6" s="348"/>
      <c r="Z6" s="348"/>
      <c r="AA6" s="348"/>
      <c r="AB6" s="349"/>
      <c r="AC6" s="353">
        <v>900</v>
      </c>
      <c r="AD6" s="354"/>
      <c r="AE6" s="354"/>
      <c r="AF6" s="354"/>
      <c r="AG6" s="355"/>
      <c r="AH6" s="356">
        <f>'3.1 Work Zone Analysis'!$L$5</f>
        <v>3</v>
      </c>
      <c r="AI6" s="329"/>
      <c r="AJ6" s="329"/>
      <c r="AK6" s="381"/>
      <c r="AL6" s="9"/>
      <c r="AM6"/>
      <c r="AN6"/>
      <c r="AO6"/>
      <c r="AP6"/>
      <c r="AQ6"/>
      <c r="AR6"/>
      <c r="AS6"/>
      <c r="AT6"/>
      <c r="AU6"/>
      <c r="AV6"/>
    </row>
    <row r="7" spans="1:48" s="26" customFormat="1" ht="20.100000000000001" customHeight="1" x14ac:dyDescent="0.25">
      <c r="A7" s="125">
        <v>3</v>
      </c>
      <c r="B7" s="376"/>
      <c r="C7" s="329"/>
      <c r="D7" s="329"/>
      <c r="E7" s="330"/>
      <c r="F7" s="377">
        <f>'3.1 Work Zone Analysis'!$L$4</f>
        <v>3000</v>
      </c>
      <c r="G7" s="329"/>
      <c r="H7" s="329"/>
      <c r="I7" s="329"/>
      <c r="J7" s="330"/>
      <c r="K7" s="313">
        <f>'3.1 Work Zone Analysis'!$L$3</f>
        <v>6000</v>
      </c>
      <c r="L7" s="329"/>
      <c r="M7" s="329"/>
      <c r="N7" s="329"/>
      <c r="O7" s="330"/>
      <c r="P7" s="378">
        <f>F7/K7</f>
        <v>0.5</v>
      </c>
      <c r="Q7" s="379"/>
      <c r="R7" s="380"/>
      <c r="S7" s="356">
        <f>ROUND(3.587*P7^3+7.681*P7^2+14.407*P7,0)</f>
        <v>10</v>
      </c>
      <c r="T7" s="357"/>
      <c r="U7" s="357"/>
      <c r="V7" s="357"/>
      <c r="W7" s="358"/>
      <c r="X7" s="347">
        <f>'3.1 Work Zone Analysis'!D4</f>
        <v>55</v>
      </c>
      <c r="Y7" s="348"/>
      <c r="Z7" s="348"/>
      <c r="AA7" s="348"/>
      <c r="AB7" s="349"/>
      <c r="AC7" s="353">
        <v>0</v>
      </c>
      <c r="AD7" s="354"/>
      <c r="AE7" s="354"/>
      <c r="AF7" s="354"/>
      <c r="AG7" s="355"/>
      <c r="AH7" s="356">
        <f>'3.1 Work Zone Analysis'!$L$5</f>
        <v>3</v>
      </c>
      <c r="AI7" s="329"/>
      <c r="AJ7" s="329"/>
      <c r="AK7" s="381"/>
      <c r="AL7" s="9"/>
      <c r="AM7"/>
      <c r="AN7"/>
      <c r="AO7"/>
      <c r="AP7"/>
      <c r="AQ7"/>
      <c r="AR7"/>
      <c r="AS7"/>
      <c r="AT7"/>
      <c r="AU7"/>
      <c r="AV7"/>
    </row>
    <row r="8" spans="1:48" s="26" customFormat="1" ht="20.100000000000001" customHeight="1" x14ac:dyDescent="0.25">
      <c r="A8" s="125">
        <v>4</v>
      </c>
      <c r="B8" s="376"/>
      <c r="C8" s="329"/>
      <c r="D8" s="329"/>
      <c r="E8" s="330"/>
      <c r="F8" s="377">
        <f>'3.1 Work Zone Analysis'!$L$4</f>
        <v>3000</v>
      </c>
      <c r="G8" s="329"/>
      <c r="H8" s="329"/>
      <c r="I8" s="329"/>
      <c r="J8" s="330"/>
      <c r="K8" s="313">
        <f>'3.1 Work Zone Analysis'!$L$3</f>
        <v>6000</v>
      </c>
      <c r="L8" s="329"/>
      <c r="M8" s="329"/>
      <c r="N8" s="329"/>
      <c r="O8" s="330"/>
      <c r="P8" s="378">
        <f>F8/K8</f>
        <v>0.5</v>
      </c>
      <c r="Q8" s="379"/>
      <c r="R8" s="380"/>
      <c r="S8" s="356">
        <f t="shared" ref="S8:S9" si="0">ROUND(3.587*P8^3+7.681*P8^2+14.407*P8,0)</f>
        <v>10</v>
      </c>
      <c r="T8" s="357"/>
      <c r="U8" s="357"/>
      <c r="V8" s="357"/>
      <c r="W8" s="358"/>
      <c r="X8" s="347">
        <f>'3.1 Work Zone Analysis'!D4</f>
        <v>55</v>
      </c>
      <c r="Y8" s="348"/>
      <c r="Z8" s="348"/>
      <c r="AA8" s="348"/>
      <c r="AB8" s="349"/>
      <c r="AC8" s="353">
        <v>0</v>
      </c>
      <c r="AD8" s="354"/>
      <c r="AE8" s="354"/>
      <c r="AF8" s="354"/>
      <c r="AG8" s="355"/>
      <c r="AH8" s="356">
        <f>'3.1 Work Zone Analysis'!$L$5</f>
        <v>3</v>
      </c>
      <c r="AI8" s="329"/>
      <c r="AJ8" s="329"/>
      <c r="AK8" s="381"/>
      <c r="AL8" s="9"/>
      <c r="AM8"/>
      <c r="AN8"/>
      <c r="AO8"/>
      <c r="AP8"/>
      <c r="AQ8"/>
      <c r="AR8"/>
      <c r="AS8"/>
      <c r="AT8"/>
      <c r="AU8"/>
      <c r="AV8"/>
    </row>
    <row r="9" spans="1:48" s="26" customFormat="1" ht="20.100000000000001" customHeight="1" thickBot="1" x14ac:dyDescent="0.3">
      <c r="A9" s="109">
        <v>5</v>
      </c>
      <c r="B9" s="382"/>
      <c r="C9" s="332"/>
      <c r="D9" s="332"/>
      <c r="E9" s="333"/>
      <c r="F9" s="254">
        <f>'3.1 Work Zone Analysis'!$L$4</f>
        <v>3000</v>
      </c>
      <c r="G9" s="255"/>
      <c r="H9" s="255"/>
      <c r="I9" s="255"/>
      <c r="J9" s="256"/>
      <c r="K9" s="257">
        <f>'3.1 Work Zone Analysis'!$L$3</f>
        <v>6000</v>
      </c>
      <c r="L9" s="158"/>
      <c r="M9" s="158"/>
      <c r="N9" s="158"/>
      <c r="O9" s="159"/>
      <c r="P9" s="160">
        <f t="shared" ref="P9" si="1">F9/K9</f>
        <v>0.5</v>
      </c>
      <c r="Q9" s="160"/>
      <c r="R9" s="161"/>
      <c r="S9" s="359">
        <f t="shared" si="0"/>
        <v>10</v>
      </c>
      <c r="T9" s="360"/>
      <c r="U9" s="360"/>
      <c r="V9" s="360"/>
      <c r="W9" s="361"/>
      <c r="X9" s="362">
        <f>'3.1 Work Zone Analysis'!D4</f>
        <v>55</v>
      </c>
      <c r="Y9" s="363"/>
      <c r="Z9" s="363"/>
      <c r="AA9" s="363"/>
      <c r="AB9" s="364"/>
      <c r="AC9" s="365">
        <v>0</v>
      </c>
      <c r="AD9" s="366"/>
      <c r="AE9" s="366"/>
      <c r="AF9" s="366"/>
      <c r="AG9" s="367"/>
      <c r="AH9" s="162">
        <f>'3.1 Work Zone Analysis'!$L$5</f>
        <v>3</v>
      </c>
      <c r="AI9" s="162"/>
      <c r="AJ9" s="162"/>
      <c r="AK9" s="163"/>
      <c r="AL9" s="9"/>
      <c r="AM9"/>
      <c r="AN9"/>
      <c r="AO9"/>
      <c r="AP9"/>
      <c r="AQ9"/>
      <c r="AR9"/>
      <c r="AS9"/>
      <c r="AT9"/>
      <c r="AU9"/>
      <c r="AV9"/>
    </row>
    <row r="10" spans="1:48" ht="37.5" customHeight="1" x14ac:dyDescent="0.25"/>
    <row r="11" spans="1:48" ht="21" customHeight="1" thickBot="1" x14ac:dyDescent="0.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48" s="123" customFormat="1" ht="13.8" thickBot="1" x14ac:dyDescent="0.3">
      <c r="B12" s="72" t="s">
        <v>41</v>
      </c>
      <c r="C12" s="73"/>
      <c r="D12" s="73"/>
      <c r="E12" s="74"/>
      <c r="F12" s="73" t="s">
        <v>42</v>
      </c>
      <c r="G12" s="73"/>
      <c r="H12" s="73"/>
      <c r="I12" s="73"/>
      <c r="J12" s="74"/>
      <c r="K12" s="73" t="s">
        <v>43</v>
      </c>
      <c r="L12" s="73"/>
      <c r="M12" s="73"/>
      <c r="N12" s="73"/>
      <c r="O12" s="73"/>
      <c r="P12" s="128"/>
      <c r="Q12" s="75" t="s">
        <v>44</v>
      </c>
      <c r="R12" s="73"/>
      <c r="S12" s="73"/>
      <c r="T12" s="73"/>
      <c r="U12" s="73"/>
      <c r="V12" s="128"/>
      <c r="W12" s="74" t="s">
        <v>45</v>
      </c>
      <c r="X12" s="266"/>
      <c r="Y12" s="266"/>
      <c r="Z12" s="266"/>
      <c r="AA12" s="266"/>
      <c r="AB12" s="266" t="s">
        <v>46</v>
      </c>
      <c r="AC12" s="266"/>
      <c r="AD12" s="266"/>
      <c r="AE12" s="266"/>
      <c r="AF12" s="266"/>
      <c r="AG12" s="73" t="s">
        <v>47</v>
      </c>
      <c r="AH12" s="73"/>
      <c r="AI12" s="73"/>
      <c r="AJ12" s="73"/>
      <c r="AK12" s="127"/>
      <c r="AL12" s="9"/>
      <c r="AM12"/>
      <c r="AN12"/>
      <c r="AO12"/>
      <c r="AP12"/>
      <c r="AQ12"/>
      <c r="AR12"/>
      <c r="AS12"/>
      <c r="AT12"/>
      <c r="AU12"/>
      <c r="AV12"/>
    </row>
    <row r="13" spans="1:48" s="16" customFormat="1" ht="90" customHeight="1" thickBot="1" x14ac:dyDescent="0.3">
      <c r="B13" s="37" t="s">
        <v>184</v>
      </c>
      <c r="C13" s="32"/>
      <c r="D13" s="32"/>
      <c r="E13" s="36"/>
      <c r="F13" s="32" t="s">
        <v>155</v>
      </c>
      <c r="G13" s="126"/>
      <c r="H13" s="32"/>
      <c r="I13" s="32"/>
      <c r="J13" s="36"/>
      <c r="K13" s="73" t="s">
        <v>156</v>
      </c>
      <c r="L13" s="126"/>
      <c r="M13" s="32"/>
      <c r="N13" s="32"/>
      <c r="O13" s="32"/>
      <c r="P13" s="137"/>
      <c r="Q13" s="33" t="s">
        <v>157</v>
      </c>
      <c r="R13" s="32"/>
      <c r="S13" s="32"/>
      <c r="T13" s="32"/>
      <c r="U13" s="32"/>
      <c r="V13" s="137"/>
      <c r="W13" s="36" t="s">
        <v>158</v>
      </c>
      <c r="X13" s="267"/>
      <c r="Y13" s="267"/>
      <c r="Z13" s="267"/>
      <c r="AA13" s="268"/>
      <c r="AB13" s="266" t="s">
        <v>159</v>
      </c>
      <c r="AC13" s="267"/>
      <c r="AD13" s="267"/>
      <c r="AE13" s="267"/>
      <c r="AF13" s="268"/>
      <c r="AG13" s="32" t="s">
        <v>160</v>
      </c>
      <c r="AH13" s="32"/>
      <c r="AI13" s="32"/>
      <c r="AJ13" s="32"/>
      <c r="AK13" s="127"/>
      <c r="AL13" s="9"/>
      <c r="AM13"/>
      <c r="AN13"/>
      <c r="AO13"/>
      <c r="AP13"/>
      <c r="AQ13"/>
      <c r="AR13"/>
      <c r="AS13"/>
      <c r="AT13"/>
      <c r="AU13"/>
      <c r="AV13"/>
    </row>
    <row r="14" spans="1:48" s="26" customFormat="1" ht="20.100000000000001" customHeight="1" x14ac:dyDescent="0.25">
      <c r="A14" s="133">
        <v>1</v>
      </c>
      <c r="B14" s="392">
        <f>((16*'3.1 Work Zone Analysis'!$G$4/100+48*'3.1 Work Zone Analysis'!$G$5/100)*(1+S5/10))</f>
        <v>38.4</v>
      </c>
      <c r="C14" s="384"/>
      <c r="D14" s="384"/>
      <c r="E14" s="320"/>
      <c r="F14" s="385">
        <f>(B14*AC5/2)/(AH5*5280)</f>
        <v>0.84848484848484851</v>
      </c>
      <c r="G14" s="386"/>
      <c r="H14" s="386"/>
      <c r="I14" s="386"/>
      <c r="J14" s="387"/>
      <c r="K14" s="393">
        <f>ROUND(F14/X5,3)</f>
        <v>1.4999999999999999E-2</v>
      </c>
      <c r="L14" s="386"/>
      <c r="M14" s="386"/>
      <c r="N14" s="386"/>
      <c r="O14" s="386"/>
      <c r="P14" s="387"/>
      <c r="Q14" s="370">
        <f>ROUND(F14/S5,3)</f>
        <v>8.5000000000000006E-2</v>
      </c>
      <c r="R14" s="384"/>
      <c r="S14" s="384"/>
      <c r="T14" s="384"/>
      <c r="U14" s="384"/>
      <c r="V14" s="320"/>
      <c r="W14" s="394">
        <f>ROUND(Q14-K14,3)</f>
        <v>7.0000000000000007E-2</v>
      </c>
      <c r="X14" s="395"/>
      <c r="Y14" s="395"/>
      <c r="Z14" s="395"/>
      <c r="AA14" s="395"/>
      <c r="AB14" s="340">
        <v>12000</v>
      </c>
      <c r="AC14" s="341"/>
      <c r="AD14" s="341"/>
      <c r="AE14" s="341"/>
      <c r="AF14" s="341"/>
      <c r="AG14" s="370">
        <f>AB14*W14</f>
        <v>840.00000000000011</v>
      </c>
      <c r="AH14" s="371"/>
      <c r="AI14" s="371"/>
      <c r="AJ14" s="371"/>
      <c r="AK14" s="372"/>
      <c r="AL14" s="9"/>
      <c r="AM14"/>
      <c r="AN14"/>
      <c r="AO14"/>
      <c r="AP14"/>
      <c r="AQ14"/>
      <c r="AR14"/>
      <c r="AS14"/>
      <c r="AT14"/>
      <c r="AU14"/>
      <c r="AV14"/>
    </row>
    <row r="15" spans="1:48" s="26" customFormat="1" ht="20.100000000000001" customHeight="1" x14ac:dyDescent="0.25">
      <c r="A15" s="134">
        <v>2</v>
      </c>
      <c r="B15" s="328">
        <f>((16*'3.1 Work Zone Analysis'!$G$4/100+48*'3.1 Work Zone Analysis'!$G$5/100)*(1+S6/10))</f>
        <v>38.4</v>
      </c>
      <c r="C15" s="329"/>
      <c r="D15" s="329"/>
      <c r="E15" s="330"/>
      <c r="F15" s="378">
        <f>((B15*AC6)/(AH6*5280))/2</f>
        <v>1.0909090909090908</v>
      </c>
      <c r="G15" s="379"/>
      <c r="H15" s="379"/>
      <c r="I15" s="379"/>
      <c r="J15" s="380"/>
      <c r="K15" s="396">
        <f>ROUND(F15/X6,3)</f>
        <v>0.02</v>
      </c>
      <c r="L15" s="379"/>
      <c r="M15" s="379"/>
      <c r="N15" s="379"/>
      <c r="O15" s="379"/>
      <c r="P15" s="380"/>
      <c r="Q15" s="373">
        <f>ROUND(F15/S6,3)</f>
        <v>0.109</v>
      </c>
      <c r="R15" s="329"/>
      <c r="S15" s="329"/>
      <c r="T15" s="329"/>
      <c r="U15" s="329"/>
      <c r="V15" s="330"/>
      <c r="W15" s="397">
        <f>ROUND(Q15-K15,3)</f>
        <v>8.8999999999999996E-2</v>
      </c>
      <c r="X15" s="398"/>
      <c r="Y15" s="398"/>
      <c r="Z15" s="398"/>
      <c r="AA15" s="398"/>
      <c r="AB15" s="342">
        <v>15900</v>
      </c>
      <c r="AC15" s="343"/>
      <c r="AD15" s="343"/>
      <c r="AE15" s="343"/>
      <c r="AF15" s="343"/>
      <c r="AG15" s="373">
        <f>W15*AB15</f>
        <v>1415.1</v>
      </c>
      <c r="AH15" s="374"/>
      <c r="AI15" s="374"/>
      <c r="AJ15" s="374"/>
      <c r="AK15" s="375"/>
      <c r="AL15" s="9"/>
      <c r="AM15"/>
      <c r="AN15"/>
      <c r="AO15"/>
      <c r="AP15"/>
      <c r="AQ15"/>
      <c r="AR15"/>
      <c r="AS15"/>
      <c r="AT15"/>
      <c r="AU15"/>
      <c r="AV15"/>
    </row>
    <row r="16" spans="1:48" s="26" customFormat="1" ht="20.100000000000001" customHeight="1" x14ac:dyDescent="0.25">
      <c r="A16" s="134">
        <v>3</v>
      </c>
      <c r="B16" s="328">
        <f>((16*'3.1 Work Zone Analysis'!$G$4/100+48*'3.1 Work Zone Analysis'!$G$5/100)*(1+S7/10))</f>
        <v>38.4</v>
      </c>
      <c r="C16" s="329"/>
      <c r="D16" s="329"/>
      <c r="E16" s="330"/>
      <c r="F16" s="378">
        <f t="shared" ref="F16:F18" si="2">((B16*AC7)/(AH7*5280))/2</f>
        <v>0</v>
      </c>
      <c r="G16" s="379"/>
      <c r="H16" s="379"/>
      <c r="I16" s="379"/>
      <c r="J16" s="380"/>
      <c r="K16" s="396">
        <f t="shared" ref="K16:K18" si="3">ROUND(F16/X7,3)</f>
        <v>0</v>
      </c>
      <c r="L16" s="379"/>
      <c r="M16" s="379"/>
      <c r="N16" s="379"/>
      <c r="O16" s="379"/>
      <c r="P16" s="380"/>
      <c r="Q16" s="373">
        <f t="shared" ref="Q16:Q18" si="4">ROUND(F16/S7,3)</f>
        <v>0</v>
      </c>
      <c r="R16" s="329"/>
      <c r="S16" s="329"/>
      <c r="T16" s="329"/>
      <c r="U16" s="329"/>
      <c r="V16" s="330"/>
      <c r="W16" s="397">
        <f t="shared" ref="W16:W18" si="5">ROUND(Q16-K16,3)</f>
        <v>0</v>
      </c>
      <c r="X16" s="398"/>
      <c r="Y16" s="398"/>
      <c r="Z16" s="398"/>
      <c r="AA16" s="398"/>
      <c r="AB16" s="368">
        <v>0</v>
      </c>
      <c r="AC16" s="369"/>
      <c r="AD16" s="369"/>
      <c r="AE16" s="369"/>
      <c r="AF16" s="369"/>
      <c r="AG16" s="373">
        <f>W16*AB16</f>
        <v>0</v>
      </c>
      <c r="AH16" s="374"/>
      <c r="AI16" s="374"/>
      <c r="AJ16" s="374"/>
      <c r="AK16" s="375"/>
      <c r="AL16" s="9"/>
      <c r="AM16"/>
      <c r="AN16"/>
      <c r="AO16"/>
      <c r="AP16"/>
      <c r="AQ16"/>
      <c r="AR16"/>
      <c r="AS16"/>
      <c r="AT16"/>
      <c r="AU16"/>
      <c r="AV16"/>
    </row>
    <row r="17" spans="1:48" s="26" customFormat="1" ht="20.100000000000001" customHeight="1" x14ac:dyDescent="0.25">
      <c r="A17" s="134">
        <v>4</v>
      </c>
      <c r="B17" s="328">
        <f>((16*'3.1 Work Zone Analysis'!$G$4/100+48*'3.1 Work Zone Analysis'!$G$5/100)*(1+S8/10))</f>
        <v>38.4</v>
      </c>
      <c r="C17" s="329"/>
      <c r="D17" s="329"/>
      <c r="E17" s="330"/>
      <c r="F17" s="378">
        <f t="shared" si="2"/>
        <v>0</v>
      </c>
      <c r="G17" s="379"/>
      <c r="H17" s="379"/>
      <c r="I17" s="379"/>
      <c r="J17" s="380"/>
      <c r="K17" s="396">
        <f t="shared" si="3"/>
        <v>0</v>
      </c>
      <c r="L17" s="379"/>
      <c r="M17" s="379"/>
      <c r="N17" s="379"/>
      <c r="O17" s="379"/>
      <c r="P17" s="380"/>
      <c r="Q17" s="373">
        <f t="shared" si="4"/>
        <v>0</v>
      </c>
      <c r="R17" s="329"/>
      <c r="S17" s="329"/>
      <c r="T17" s="329"/>
      <c r="U17" s="329"/>
      <c r="V17" s="330"/>
      <c r="W17" s="397">
        <f t="shared" si="5"/>
        <v>0</v>
      </c>
      <c r="X17" s="398"/>
      <c r="Y17" s="398"/>
      <c r="Z17" s="398"/>
      <c r="AA17" s="398"/>
      <c r="AB17" s="368">
        <v>0</v>
      </c>
      <c r="AC17" s="369"/>
      <c r="AD17" s="369"/>
      <c r="AE17" s="369"/>
      <c r="AF17" s="369"/>
      <c r="AG17" s="373">
        <f t="shared" ref="AG17:AG18" si="6">W17*AB17</f>
        <v>0</v>
      </c>
      <c r="AH17" s="374"/>
      <c r="AI17" s="374"/>
      <c r="AJ17" s="374"/>
      <c r="AK17" s="375"/>
      <c r="AL17" s="9"/>
      <c r="AM17"/>
      <c r="AN17"/>
      <c r="AO17"/>
      <c r="AP17"/>
      <c r="AQ17"/>
      <c r="AR17"/>
      <c r="AS17"/>
      <c r="AT17"/>
      <c r="AU17"/>
      <c r="AV17"/>
    </row>
    <row r="18" spans="1:48" s="26" customFormat="1" ht="20.100000000000001" customHeight="1" thickBot="1" x14ac:dyDescent="0.3">
      <c r="A18" s="135">
        <v>5</v>
      </c>
      <c r="B18" s="331">
        <f>((16*'3.1 Work Zone Analysis'!$G$4/100+48*'3.1 Work Zone Analysis'!$G$5/100)*(1+S9/10))</f>
        <v>38.4</v>
      </c>
      <c r="C18" s="332"/>
      <c r="D18" s="332"/>
      <c r="E18" s="333"/>
      <c r="F18" s="404">
        <f t="shared" si="2"/>
        <v>0</v>
      </c>
      <c r="G18" s="405"/>
      <c r="H18" s="405"/>
      <c r="I18" s="405"/>
      <c r="J18" s="406"/>
      <c r="K18" s="407">
        <f t="shared" si="3"/>
        <v>0</v>
      </c>
      <c r="L18" s="405"/>
      <c r="M18" s="405"/>
      <c r="N18" s="405"/>
      <c r="O18" s="405"/>
      <c r="P18" s="406"/>
      <c r="Q18" s="408">
        <f t="shared" si="4"/>
        <v>0</v>
      </c>
      <c r="R18" s="332"/>
      <c r="S18" s="332"/>
      <c r="T18" s="332"/>
      <c r="U18" s="332"/>
      <c r="V18" s="333"/>
      <c r="W18" s="413">
        <f t="shared" si="5"/>
        <v>0</v>
      </c>
      <c r="X18" s="414"/>
      <c r="Y18" s="414"/>
      <c r="Z18" s="414"/>
      <c r="AA18" s="414"/>
      <c r="AB18" s="409">
        <v>0</v>
      </c>
      <c r="AC18" s="410"/>
      <c r="AD18" s="410"/>
      <c r="AE18" s="410"/>
      <c r="AF18" s="410"/>
      <c r="AG18" s="408">
        <f t="shared" si="6"/>
        <v>0</v>
      </c>
      <c r="AH18" s="411"/>
      <c r="AI18" s="411"/>
      <c r="AJ18" s="411"/>
      <c r="AK18" s="412"/>
      <c r="AL18" s="9"/>
      <c r="AM18"/>
      <c r="AN18"/>
      <c r="AO18"/>
      <c r="AP18"/>
      <c r="AQ18"/>
      <c r="AR18"/>
      <c r="AS18"/>
      <c r="AT18"/>
      <c r="AU18"/>
      <c r="AV18"/>
    </row>
    <row r="19" spans="1:48" s="41" customFormat="1" ht="20.100000000000001" customHeight="1" thickBot="1" x14ac:dyDescent="0.3">
      <c r="A19" s="119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7"/>
      <c r="M19" s="258" t="s">
        <v>48</v>
      </c>
      <c r="N19" s="259"/>
      <c r="O19" s="259"/>
      <c r="P19" s="259"/>
      <c r="Q19" s="260"/>
      <c r="R19" s="260"/>
      <c r="S19" s="259"/>
      <c r="T19" s="259"/>
      <c r="U19" s="259"/>
      <c r="V19" s="259"/>
      <c r="W19" s="269"/>
      <c r="X19" s="270"/>
      <c r="Y19" s="270"/>
      <c r="Z19" s="270"/>
      <c r="AA19" s="270"/>
      <c r="AB19" s="399">
        <f>SUM(AB14:AB18)</f>
        <v>27900</v>
      </c>
      <c r="AC19" s="400"/>
      <c r="AD19" s="400"/>
      <c r="AE19" s="400"/>
      <c r="AF19" s="400"/>
      <c r="AG19" s="401">
        <f>SUM(AG14:AG18)</f>
        <v>2255.1</v>
      </c>
      <c r="AH19" s="402"/>
      <c r="AI19" s="402"/>
      <c r="AJ19" s="402"/>
      <c r="AK19" s="403"/>
      <c r="AL19"/>
      <c r="AM19"/>
      <c r="AN19"/>
      <c r="AO19"/>
      <c r="AP19"/>
      <c r="AQ19"/>
      <c r="AR19"/>
      <c r="AS19"/>
      <c r="AT19"/>
      <c r="AU19"/>
      <c r="AV19"/>
    </row>
    <row r="20" spans="1:48" s="41" customFormat="1" ht="20.25" customHeight="1" thickBot="1" x14ac:dyDescent="0.3">
      <c r="A20" s="54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7"/>
      <c r="M20" s="37" t="s">
        <v>49</v>
      </c>
      <c r="N20" s="86"/>
      <c r="O20" s="86"/>
      <c r="P20" s="86"/>
      <c r="Q20" s="126"/>
      <c r="R20" s="126"/>
      <c r="S20" s="86"/>
      <c r="T20" s="138"/>
      <c r="U20" s="86"/>
      <c r="V20" s="86"/>
      <c r="W20" s="36"/>
      <c r="X20" s="271"/>
      <c r="Y20" s="271"/>
      <c r="Z20" s="271"/>
      <c r="AA20" s="271"/>
      <c r="AB20" s="417">
        <f>IF(AB19=0,0,ROUND(AG19/AB19,3))</f>
        <v>8.1000000000000003E-2</v>
      </c>
      <c r="AC20" s="418"/>
      <c r="AD20" s="418"/>
      <c r="AE20" s="418"/>
      <c r="AF20" s="419"/>
      <c r="AG20" s="420" t="s">
        <v>50</v>
      </c>
      <c r="AH20" s="421"/>
      <c r="AI20" s="421"/>
      <c r="AJ20" s="421"/>
      <c r="AK20" s="422"/>
      <c r="AL20"/>
      <c r="AM20"/>
      <c r="AN20"/>
      <c r="AO20"/>
      <c r="AP20"/>
      <c r="AQ20"/>
      <c r="AR20"/>
      <c r="AS20"/>
      <c r="AT20"/>
      <c r="AU20"/>
      <c r="AV20"/>
    </row>
    <row r="21" spans="1:48" ht="29.25" customHeight="1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9"/>
      <c r="M21" s="29"/>
      <c r="N21" s="29"/>
      <c r="O21" s="29"/>
      <c r="P21" s="29"/>
      <c r="Q21" s="29"/>
      <c r="R21" s="29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9"/>
      <c r="AF21" s="29"/>
      <c r="AG21" s="29"/>
      <c r="AH21" s="28"/>
      <c r="AI21" s="28"/>
      <c r="AJ21" s="28"/>
    </row>
    <row r="22" spans="1:48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48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48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48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48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48" ht="11.25" customHeight="1" x14ac:dyDescent="0.25"/>
    <row r="28" spans="1:48" s="9" customFormat="1" ht="15.6" x14ac:dyDescent="0.3">
      <c r="A28" s="415" t="s">
        <v>29</v>
      </c>
      <c r="B28" s="415"/>
      <c r="C28" s="415"/>
      <c r="D28" s="415"/>
      <c r="E28" s="305"/>
      <c r="F28" s="416" t="str">
        <f>'3.1 Work Zone Analysis'!D42</f>
        <v xml:space="preserve">EXAMPLE </v>
      </c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  <c r="U28" s="416"/>
      <c r="V28" s="416"/>
      <c r="W28" s="416"/>
      <c r="X28" s="416"/>
      <c r="Y28" s="416"/>
      <c r="Z28" s="416"/>
      <c r="AA28" s="416"/>
      <c r="AB28" s="416"/>
      <c r="AC28"/>
      <c r="AD28"/>
      <c r="AE28" s="206" t="s">
        <v>30</v>
      </c>
      <c r="AF28" s="423">
        <f>'3.1 Work Zone Analysis'!L42</f>
        <v>42005</v>
      </c>
      <c r="AG28" s="423"/>
      <c r="AH28" s="423"/>
      <c r="AI28" s="423"/>
      <c r="AJ28" s="423"/>
      <c r="AK28" s="424"/>
      <c r="AL28"/>
      <c r="AM28"/>
      <c r="AN28"/>
      <c r="AO28"/>
      <c r="AP28"/>
      <c r="AQ28"/>
      <c r="AR28"/>
      <c r="AS28"/>
      <c r="AT28"/>
      <c r="AU28"/>
      <c r="AV28"/>
    </row>
    <row r="29" spans="1:48" s="9" customFormat="1" ht="4.5" customHeight="1" x14ac:dyDescent="0.25">
      <c r="A29"/>
      <c r="C29" s="10"/>
      <c r="D29" s="7"/>
      <c r="E29" s="7"/>
      <c r="F29" s="10"/>
      <c r="H29" s="7"/>
      <c r="I29" s="7"/>
      <c r="J29" s="7"/>
      <c r="K29" s="7"/>
      <c r="Z29"/>
      <c r="AL29"/>
      <c r="AM29"/>
      <c r="AN29"/>
      <c r="AO29"/>
      <c r="AP29"/>
      <c r="AQ29"/>
      <c r="AR29"/>
      <c r="AS29"/>
      <c r="AT29"/>
      <c r="AU29"/>
      <c r="AV29"/>
    </row>
    <row r="30" spans="1:48" s="9" customFormat="1" ht="15.6" x14ac:dyDescent="0.3">
      <c r="A30" s="25" t="s">
        <v>31</v>
      </c>
      <c r="B30" s="25"/>
      <c r="C30" s="25"/>
      <c r="D30" s="25"/>
      <c r="E30" s="25"/>
      <c r="F30" s="416" t="str">
        <f>'3.1 Work Zone Analysis'!D44</f>
        <v>Route</v>
      </c>
      <c r="G30" s="416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  <c r="T30" s="416"/>
      <c r="U30" s="416"/>
      <c r="V30" s="416"/>
      <c r="W30" s="416"/>
      <c r="X30" s="416"/>
      <c r="Y30" s="416"/>
      <c r="Z30" s="416"/>
      <c r="AA30" s="416"/>
      <c r="AB30" s="416"/>
      <c r="AC30" s="416"/>
      <c r="AD30" s="416"/>
      <c r="AE30" s="416"/>
      <c r="AF30" s="416"/>
      <c r="AG30" s="416"/>
      <c r="AH30" s="416"/>
      <c r="AI30" s="416"/>
      <c r="AJ30" s="416"/>
      <c r="AK30" s="416"/>
      <c r="AL30"/>
      <c r="AM30"/>
      <c r="AN30"/>
      <c r="AO30"/>
      <c r="AP30"/>
      <c r="AQ30"/>
      <c r="AR30"/>
      <c r="AS30"/>
      <c r="AT30"/>
      <c r="AU30"/>
      <c r="AV30"/>
    </row>
    <row r="31" spans="1:48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48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</row>
  </sheetData>
  <mergeCells count="79">
    <mergeCell ref="A28:D28"/>
    <mergeCell ref="F28:AB28"/>
    <mergeCell ref="F30:AK30"/>
    <mergeCell ref="AB20:AF20"/>
    <mergeCell ref="AG20:AK20"/>
    <mergeCell ref="AF28:AK28"/>
    <mergeCell ref="AB19:AF19"/>
    <mergeCell ref="AG19:AK19"/>
    <mergeCell ref="F17:J17"/>
    <mergeCell ref="F18:J18"/>
    <mergeCell ref="K17:P17"/>
    <mergeCell ref="K18:P18"/>
    <mergeCell ref="Q17:V17"/>
    <mergeCell ref="Q18:V18"/>
    <mergeCell ref="AB17:AF17"/>
    <mergeCell ref="AB18:AF18"/>
    <mergeCell ref="AG17:AK17"/>
    <mergeCell ref="AG18:AK18"/>
    <mergeCell ref="W17:AA17"/>
    <mergeCell ref="W18:AA18"/>
    <mergeCell ref="B16:E16"/>
    <mergeCell ref="F16:J16"/>
    <mergeCell ref="K16:P16"/>
    <mergeCell ref="Q16:V16"/>
    <mergeCell ref="W16:AA16"/>
    <mergeCell ref="B15:E15"/>
    <mergeCell ref="F15:J15"/>
    <mergeCell ref="K15:P15"/>
    <mergeCell ref="Q15:V15"/>
    <mergeCell ref="W15:AA15"/>
    <mergeCell ref="B14:E14"/>
    <mergeCell ref="F14:J14"/>
    <mergeCell ref="K14:P14"/>
    <mergeCell ref="Q14:V14"/>
    <mergeCell ref="W14:AA14"/>
    <mergeCell ref="AH8:AK8"/>
    <mergeCell ref="AC8:AG8"/>
    <mergeCell ref="F5:J5"/>
    <mergeCell ref="K5:O5"/>
    <mergeCell ref="P5:R5"/>
    <mergeCell ref="AH5:AK5"/>
    <mergeCell ref="F6:J6"/>
    <mergeCell ref="K6:O6"/>
    <mergeCell ref="P6:R6"/>
    <mergeCell ref="AH6:AK6"/>
    <mergeCell ref="S5:W5"/>
    <mergeCell ref="S6:W6"/>
    <mergeCell ref="B8:E8"/>
    <mergeCell ref="B9:E9"/>
    <mergeCell ref="F8:J8"/>
    <mergeCell ref="K8:O8"/>
    <mergeCell ref="P8:R8"/>
    <mergeCell ref="B7:E7"/>
    <mergeCell ref="F7:J7"/>
    <mergeCell ref="K7:O7"/>
    <mergeCell ref="P7:R7"/>
    <mergeCell ref="AH7:AK7"/>
    <mergeCell ref="X9:AB9"/>
    <mergeCell ref="AC9:AG9"/>
    <mergeCell ref="AB16:AF16"/>
    <mergeCell ref="AG14:AK14"/>
    <mergeCell ref="AG15:AK15"/>
    <mergeCell ref="AG16:AK16"/>
    <mergeCell ref="B17:E17"/>
    <mergeCell ref="B18:E18"/>
    <mergeCell ref="B5:E5"/>
    <mergeCell ref="B6:E6"/>
    <mergeCell ref="AB14:AF14"/>
    <mergeCell ref="AB15:AF15"/>
    <mergeCell ref="X5:AB5"/>
    <mergeCell ref="X6:AB6"/>
    <mergeCell ref="AC5:AG5"/>
    <mergeCell ref="AC6:AG6"/>
    <mergeCell ref="S7:W7"/>
    <mergeCell ref="X7:AB7"/>
    <mergeCell ref="AC7:AG7"/>
    <mergeCell ref="S8:W8"/>
    <mergeCell ref="X8:AB8"/>
    <mergeCell ref="S9:W9"/>
  </mergeCells>
  <phoneticPr fontId="0" type="noConversion"/>
  <printOptions verticalCentered="1"/>
  <pageMargins left="0.75" right="0.25" top="1" bottom="0.75" header="0.5" footer="0.25"/>
  <pageSetup orientation="portrait" r:id="rId1"/>
  <headerFooter alignWithMargins="0">
    <oddFooter>&amp;L&amp;8&amp;F, &amp;A&amp;R&amp;8Prepared by NJDOT Capital Program Support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topLeftCell="A13" zoomScaleNormal="100" workbookViewId="0">
      <selection activeCell="Q19" sqref="Q19:T19"/>
    </sheetView>
  </sheetViews>
  <sheetFormatPr defaultRowHeight="13.2" x14ac:dyDescent="0.25"/>
  <cols>
    <col min="1" max="31" width="3.109375" customWidth="1"/>
    <col min="32" max="38" width="2.44140625" customWidth="1"/>
  </cols>
  <sheetData>
    <row r="1" spans="1:43" s="84" customFormat="1" ht="45.75" customHeight="1" x14ac:dyDescent="0.3">
      <c r="A1" s="89" t="s">
        <v>117</v>
      </c>
      <c r="B1" s="90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3" ht="22.5" customHeight="1" thickBot="1" x14ac:dyDescent="0.3">
      <c r="A2" s="88" t="s">
        <v>51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43" s="71" customFormat="1" ht="13.8" thickBot="1" x14ac:dyDescent="0.3">
      <c r="A3" s="321" t="s">
        <v>52</v>
      </c>
      <c r="B3" s="441"/>
      <c r="C3" s="441"/>
      <c r="D3" s="441"/>
      <c r="E3" s="443"/>
      <c r="F3" s="317" t="s">
        <v>53</v>
      </c>
      <c r="G3" s="441"/>
      <c r="H3" s="441"/>
      <c r="I3" s="441"/>
      <c r="J3" s="443"/>
      <c r="K3" s="317" t="s">
        <v>54</v>
      </c>
      <c r="L3" s="441"/>
      <c r="M3" s="441"/>
      <c r="N3" s="441"/>
      <c r="O3" s="443"/>
      <c r="P3" s="317" t="s">
        <v>55</v>
      </c>
      <c r="Q3" s="441"/>
      <c r="R3" s="441"/>
      <c r="S3" s="441"/>
      <c r="T3" s="443"/>
      <c r="U3" s="317" t="s">
        <v>56</v>
      </c>
      <c r="V3" s="441"/>
      <c r="W3" s="441"/>
      <c r="X3" s="441"/>
      <c r="Y3" s="443"/>
      <c r="Z3" s="317" t="s">
        <v>57</v>
      </c>
      <c r="AA3" s="441"/>
      <c r="AB3" s="441"/>
      <c r="AC3" s="441"/>
      <c r="AD3" s="442"/>
      <c r="AE3"/>
      <c r="AF3"/>
      <c r="AG3"/>
      <c r="AH3"/>
      <c r="AI3"/>
      <c r="AJ3"/>
    </row>
    <row r="4" spans="1:43" s="35" customFormat="1" ht="69" customHeight="1" thickBot="1" x14ac:dyDescent="0.3">
      <c r="A4" s="321" t="s">
        <v>136</v>
      </c>
      <c r="B4" s="441"/>
      <c r="C4" s="441"/>
      <c r="D4" s="441"/>
      <c r="E4" s="443"/>
      <c r="F4" s="317" t="s">
        <v>137</v>
      </c>
      <c r="G4" s="441"/>
      <c r="H4" s="441"/>
      <c r="I4" s="441"/>
      <c r="J4" s="443"/>
      <c r="K4" s="317" t="s">
        <v>152</v>
      </c>
      <c r="L4" s="441"/>
      <c r="M4" s="441"/>
      <c r="N4" s="441"/>
      <c r="O4" s="443"/>
      <c r="P4" s="317" t="s">
        <v>161</v>
      </c>
      <c r="Q4" s="441"/>
      <c r="R4" s="441"/>
      <c r="S4" s="441"/>
      <c r="T4" s="443"/>
      <c r="U4" s="317" t="s">
        <v>162</v>
      </c>
      <c r="V4" s="441"/>
      <c r="W4" s="441"/>
      <c r="X4" s="441"/>
      <c r="Y4" s="443"/>
      <c r="Z4" s="317" t="s">
        <v>163</v>
      </c>
      <c r="AA4" s="441"/>
      <c r="AB4" s="441"/>
      <c r="AC4" s="441"/>
      <c r="AD4" s="442"/>
      <c r="AE4"/>
      <c r="AF4"/>
      <c r="AG4"/>
      <c r="AH4"/>
      <c r="AI4"/>
      <c r="AJ4"/>
    </row>
    <row r="5" spans="1:43" s="41" customFormat="1" ht="36.75" customHeight="1" thickBot="1" x14ac:dyDescent="0.3">
      <c r="A5" s="425">
        <v>3</v>
      </c>
      <c r="B5" s="455"/>
      <c r="C5" s="455"/>
      <c r="D5" s="455"/>
      <c r="E5" s="456"/>
      <c r="F5" s="461">
        <v>45</v>
      </c>
      <c r="G5" s="462"/>
      <c r="H5" s="462"/>
      <c r="I5" s="462"/>
      <c r="J5" s="463"/>
      <c r="K5" s="457">
        <f>'3.1 Work Zone Analysis'!D4</f>
        <v>55</v>
      </c>
      <c r="L5" s="458"/>
      <c r="M5" s="458"/>
      <c r="N5" s="458"/>
      <c r="O5" s="459"/>
      <c r="P5" s="401">
        <f>A5/K5</f>
        <v>5.4545454545454543E-2</v>
      </c>
      <c r="Q5" s="402"/>
      <c r="R5" s="402"/>
      <c r="S5" s="402"/>
      <c r="T5" s="429"/>
      <c r="U5" s="446">
        <f>IF(A5=0,0,ROUND(A5/F5,3))</f>
        <v>6.7000000000000004E-2</v>
      </c>
      <c r="V5" s="447"/>
      <c r="W5" s="447"/>
      <c r="X5" s="447"/>
      <c r="Y5" s="448"/>
      <c r="Z5" s="444">
        <f>ROUND(U5-P5,3)</f>
        <v>1.2E-2</v>
      </c>
      <c r="AA5" s="421"/>
      <c r="AB5" s="421"/>
      <c r="AC5" s="421"/>
      <c r="AD5" s="422"/>
      <c r="AE5"/>
      <c r="AF5"/>
      <c r="AG5"/>
      <c r="AH5"/>
      <c r="AI5"/>
      <c r="AJ5"/>
    </row>
    <row r="6" spans="1:43" x14ac:dyDescent="0.25">
      <c r="K6" s="226"/>
    </row>
    <row r="9" spans="1:43" ht="22.5" customHeight="1" thickBot="1" x14ac:dyDescent="0.3">
      <c r="A9" s="88" t="s">
        <v>58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  <c r="O9" s="31"/>
      <c r="P9" s="31"/>
      <c r="Q9" s="31"/>
      <c r="R9" s="31"/>
      <c r="S9" s="85"/>
      <c r="T9" s="85"/>
      <c r="U9" s="85"/>
      <c r="V9" s="85"/>
      <c r="W9" s="85"/>
      <c r="X9" s="85"/>
      <c r="Y9" s="31"/>
      <c r="Z9" s="31"/>
      <c r="AA9" s="31"/>
      <c r="AB9" s="31"/>
      <c r="AC9" s="31"/>
      <c r="AD9" s="29"/>
    </row>
    <row r="10" spans="1:43" s="71" customFormat="1" ht="13.8" thickBot="1" x14ac:dyDescent="0.3">
      <c r="A10" s="321" t="s">
        <v>59</v>
      </c>
      <c r="B10" s="441"/>
      <c r="C10" s="441"/>
      <c r="D10" s="441"/>
      <c r="E10" s="443"/>
      <c r="F10" s="317" t="s">
        <v>60</v>
      </c>
      <c r="G10" s="441"/>
      <c r="H10" s="441"/>
      <c r="I10" s="441"/>
      <c r="J10" s="443"/>
      <c r="K10" s="475" t="s">
        <v>61</v>
      </c>
      <c r="L10" s="465"/>
      <c r="M10" s="465"/>
      <c r="N10" s="465"/>
      <c r="O10" s="465"/>
      <c r="P10" s="464" t="s">
        <v>62</v>
      </c>
      <c r="Q10" s="465"/>
      <c r="R10" s="465"/>
      <c r="S10" s="465"/>
      <c r="T10" s="466"/>
      <c r="U10" s="317" t="s">
        <v>63</v>
      </c>
      <c r="V10" s="441"/>
      <c r="W10" s="441"/>
      <c r="X10" s="441"/>
      <c r="Y10" s="443"/>
      <c r="Z10" s="317" t="s">
        <v>64</v>
      </c>
      <c r="AA10" s="441"/>
      <c r="AB10" s="441"/>
      <c r="AC10" s="441"/>
      <c r="AD10" s="442"/>
      <c r="AE10"/>
      <c r="AF10"/>
      <c r="AG10"/>
      <c r="AH10"/>
      <c r="AI10"/>
      <c r="AJ10"/>
    </row>
    <row r="11" spans="1:43" s="35" customFormat="1" ht="55.5" customHeight="1" thickBot="1" x14ac:dyDescent="0.3">
      <c r="A11" s="321" t="s">
        <v>164</v>
      </c>
      <c r="B11" s="441"/>
      <c r="C11" s="441"/>
      <c r="D11" s="441"/>
      <c r="E11" s="443"/>
      <c r="F11" s="317" t="s">
        <v>165</v>
      </c>
      <c r="G11" s="441"/>
      <c r="H11" s="441"/>
      <c r="I11" s="441"/>
      <c r="J11" s="443"/>
      <c r="K11" s="475" t="s">
        <v>166</v>
      </c>
      <c r="L11" s="465"/>
      <c r="M11" s="465"/>
      <c r="N11" s="465"/>
      <c r="O11" s="465"/>
      <c r="P11" s="464" t="s">
        <v>167</v>
      </c>
      <c r="Q11" s="465"/>
      <c r="R11" s="465"/>
      <c r="S11" s="465"/>
      <c r="T11" s="466"/>
      <c r="U11" s="317" t="s">
        <v>168</v>
      </c>
      <c r="V11" s="441"/>
      <c r="W11" s="441"/>
      <c r="X11" s="441"/>
      <c r="Y11" s="443"/>
      <c r="Z11" s="317" t="s">
        <v>169</v>
      </c>
      <c r="AA11" s="441"/>
      <c r="AB11" s="441"/>
      <c r="AC11" s="441"/>
      <c r="AD11" s="442"/>
      <c r="AE11"/>
      <c r="AF11"/>
      <c r="AG11"/>
      <c r="AH11"/>
      <c r="AI11"/>
      <c r="AJ11"/>
    </row>
    <row r="12" spans="1:43" s="173" customFormat="1" ht="36.75" customHeight="1" thickBot="1" x14ac:dyDescent="0.3">
      <c r="A12" s="425">
        <v>0</v>
      </c>
      <c r="B12" s="455"/>
      <c r="C12" s="455"/>
      <c r="D12" s="455"/>
      <c r="E12" s="456"/>
      <c r="F12" s="460">
        <v>0</v>
      </c>
      <c r="G12" s="455"/>
      <c r="H12" s="455"/>
      <c r="I12" s="455"/>
      <c r="J12" s="456"/>
      <c r="K12" s="476">
        <f>F12-A12</f>
        <v>0</v>
      </c>
      <c r="L12" s="477"/>
      <c r="M12" s="477"/>
      <c r="N12" s="477"/>
      <c r="O12" s="477"/>
      <c r="P12" s="467">
        <v>0</v>
      </c>
      <c r="Q12" s="467"/>
      <c r="R12" s="467"/>
      <c r="S12" s="467"/>
      <c r="T12" s="468"/>
      <c r="U12" s="469">
        <v>0</v>
      </c>
      <c r="V12" s="470"/>
      <c r="W12" s="470"/>
      <c r="X12" s="470"/>
      <c r="Y12" s="471"/>
      <c r="Z12" s="472">
        <f>U12-P12</f>
        <v>0</v>
      </c>
      <c r="AA12" s="421"/>
      <c r="AB12" s="421"/>
      <c r="AC12" s="421"/>
      <c r="AD12" s="422"/>
      <c r="AE12" s="172"/>
      <c r="AF12" s="172"/>
      <c r="AG12" s="172"/>
      <c r="AH12" s="172"/>
      <c r="AI12" s="172"/>
      <c r="AJ12" s="172"/>
    </row>
    <row r="16" spans="1:43" ht="24" customHeight="1" thickBot="1" x14ac:dyDescent="0.3">
      <c r="A16" s="474" t="s">
        <v>107</v>
      </c>
      <c r="B16" s="431"/>
      <c r="C16" s="431"/>
      <c r="D16" s="431"/>
      <c r="E16" s="431"/>
      <c r="F16" s="431"/>
      <c r="G16" s="431"/>
      <c r="H16" s="431"/>
      <c r="I16" s="431"/>
      <c r="J16" s="431"/>
      <c r="K16" s="431"/>
      <c r="L16" s="431"/>
    </row>
    <row r="17" spans="1:39" s="71" customFormat="1" ht="13.5" customHeight="1" thickBot="1" x14ac:dyDescent="0.3">
      <c r="A17" s="437" t="s">
        <v>108</v>
      </c>
      <c r="B17" s="438"/>
      <c r="C17" s="438"/>
      <c r="D17" s="439"/>
      <c r="E17" s="317" t="s">
        <v>109</v>
      </c>
      <c r="F17" s="402"/>
      <c r="G17" s="402"/>
      <c r="H17" s="429"/>
      <c r="I17" s="317" t="s">
        <v>110</v>
      </c>
      <c r="J17" s="402"/>
      <c r="K17" s="402"/>
      <c r="L17" s="429"/>
      <c r="M17" s="428" t="s">
        <v>111</v>
      </c>
      <c r="N17" s="402"/>
      <c r="O17" s="402"/>
      <c r="P17" s="429"/>
      <c r="Q17" s="428" t="s">
        <v>112</v>
      </c>
      <c r="R17" s="402"/>
      <c r="S17" s="402"/>
      <c r="T17" s="429"/>
      <c r="U17" s="473" t="s">
        <v>188</v>
      </c>
      <c r="V17" s="402"/>
      <c r="W17" s="402"/>
      <c r="X17" s="402"/>
      <c r="Y17" s="429"/>
      <c r="Z17" s="473" t="s">
        <v>113</v>
      </c>
      <c r="AA17" s="402"/>
      <c r="AB17" s="402"/>
      <c r="AC17" s="402"/>
      <c r="AD17" s="403"/>
      <c r="AE17" s="451" t="s">
        <v>118</v>
      </c>
      <c r="AF17" s="451"/>
      <c r="AG17" s="451"/>
      <c r="AH17" s="451"/>
    </row>
    <row r="18" spans="1:39" s="212" customFormat="1" ht="75" customHeight="1" thickBot="1" x14ac:dyDescent="0.3">
      <c r="A18" s="440" t="s">
        <v>170</v>
      </c>
      <c r="B18" s="431"/>
      <c r="C18" s="431"/>
      <c r="D18" s="432"/>
      <c r="E18" s="434" t="s">
        <v>171</v>
      </c>
      <c r="F18" s="431"/>
      <c r="G18" s="431"/>
      <c r="H18" s="432"/>
      <c r="I18" s="434" t="s">
        <v>152</v>
      </c>
      <c r="J18" s="431"/>
      <c r="K18" s="431"/>
      <c r="L18" s="432"/>
      <c r="M18" s="430" t="s">
        <v>189</v>
      </c>
      <c r="N18" s="431"/>
      <c r="O18" s="431"/>
      <c r="P18" s="432"/>
      <c r="Q18" s="430" t="s">
        <v>186</v>
      </c>
      <c r="R18" s="431"/>
      <c r="S18" s="431"/>
      <c r="T18" s="432"/>
      <c r="U18" s="430" t="s">
        <v>187</v>
      </c>
      <c r="V18" s="431"/>
      <c r="W18" s="431"/>
      <c r="X18" s="431"/>
      <c r="Y18" s="432"/>
      <c r="Z18" s="434" t="s">
        <v>128</v>
      </c>
      <c r="AA18" s="453"/>
      <c r="AB18" s="453"/>
      <c r="AC18" s="453"/>
      <c r="AD18" s="454"/>
      <c r="AE18" s="452" t="s">
        <v>118</v>
      </c>
      <c r="AF18" s="452"/>
      <c r="AG18" s="452"/>
      <c r="AH18" s="452"/>
    </row>
    <row r="19" spans="1:39" s="41" customFormat="1" ht="36.75" customHeight="1" thickBot="1" x14ac:dyDescent="0.3">
      <c r="A19" s="425">
        <v>0</v>
      </c>
      <c r="B19" s="426"/>
      <c r="C19" s="426"/>
      <c r="D19" s="427"/>
      <c r="E19" s="436">
        <v>0</v>
      </c>
      <c r="F19" s="426"/>
      <c r="G19" s="426"/>
      <c r="H19" s="427"/>
      <c r="I19" s="435">
        <f>'3.1 Work Zone Analysis'!D4</f>
        <v>55</v>
      </c>
      <c r="J19" s="426"/>
      <c r="K19" s="426"/>
      <c r="L19" s="427"/>
      <c r="M19" s="433">
        <v>0</v>
      </c>
      <c r="N19" s="426"/>
      <c r="O19" s="426"/>
      <c r="P19" s="427"/>
      <c r="Q19" s="401">
        <f>IF(A19=0,0,(M19/2)/60)</f>
        <v>0</v>
      </c>
      <c r="R19" s="426"/>
      <c r="S19" s="426"/>
      <c r="T19" s="427"/>
      <c r="U19" s="446">
        <f>IF(A19=0,0,ROUND(A19/E19-A19/I19,3))</f>
        <v>0</v>
      </c>
      <c r="V19" s="447"/>
      <c r="W19" s="447"/>
      <c r="X19" s="447"/>
      <c r="Y19" s="448"/>
      <c r="Z19" s="444">
        <f>Q19+U19</f>
        <v>0</v>
      </c>
      <c r="AA19" s="426"/>
      <c r="AB19" s="426"/>
      <c r="AC19" s="426"/>
      <c r="AD19" s="445"/>
      <c r="AE19" s="449" t="s">
        <v>118</v>
      </c>
      <c r="AF19" s="450"/>
      <c r="AG19" s="450"/>
      <c r="AH19" s="450"/>
    </row>
    <row r="30" spans="1:39" s="34" customFormat="1" ht="15.6" x14ac:dyDescent="0.3">
      <c r="A30" s="415" t="s">
        <v>29</v>
      </c>
      <c r="B30" s="415"/>
      <c r="C30" s="415"/>
      <c r="D30" s="305"/>
      <c r="E30" s="272" t="str">
        <f>'3.1 Work Zone Analysis'!D42</f>
        <v xml:space="preserve">EXAMPLE </v>
      </c>
      <c r="F30" s="157"/>
      <c r="G30" s="19"/>
      <c r="H30" s="19"/>
      <c r="I30" s="19"/>
      <c r="J30" s="19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22"/>
      <c r="W30"/>
      <c r="Y30" s="27" t="s">
        <v>30</v>
      </c>
      <c r="Z30" s="423">
        <f>'3.1 Work Zone Analysis'!L42</f>
        <v>42005</v>
      </c>
      <c r="AA30" s="423"/>
      <c r="AB30" s="423"/>
      <c r="AC30" s="423"/>
      <c r="AD30" s="424"/>
      <c r="AE30" s="15"/>
      <c r="AF30" s="15"/>
      <c r="AG30" s="15"/>
      <c r="AH30" s="15"/>
    </row>
    <row r="31" spans="1:39" s="34" customFormat="1" ht="4.5" customHeight="1" x14ac:dyDescent="0.25">
      <c r="B31" s="10"/>
      <c r="C31" s="7"/>
      <c r="D31" s="7"/>
      <c r="E31" s="10"/>
      <c r="G31" s="7"/>
      <c r="H31" s="7"/>
      <c r="I31" s="7"/>
      <c r="J31" s="7"/>
      <c r="AA31" s="15"/>
    </row>
    <row r="32" spans="1:39" s="34" customFormat="1" ht="15.6" x14ac:dyDescent="0.3">
      <c r="A32" s="12" t="s">
        <v>31</v>
      </c>
      <c r="B32" s="13"/>
      <c r="C32" s="13"/>
      <c r="D32" s="13"/>
      <c r="E32" s="272" t="str">
        <f>'3.1 Work Zone Analysis'!D44</f>
        <v>Route</v>
      </c>
      <c r="F32" s="157"/>
      <c r="G32" s="19"/>
      <c r="H32" s="19"/>
      <c r="I32" s="19"/>
      <c r="J32" s="19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15"/>
      <c r="AF32" s="15"/>
      <c r="AG32" s="15"/>
      <c r="AH32" s="15"/>
      <c r="AI32" s="15"/>
      <c r="AJ32" s="15"/>
      <c r="AK32" s="15"/>
      <c r="AL32" s="15"/>
      <c r="AM32" s="15"/>
    </row>
  </sheetData>
  <mergeCells count="63">
    <mergeCell ref="A30:C30"/>
    <mergeCell ref="P5:T5"/>
    <mergeCell ref="P12:T12"/>
    <mergeCell ref="U12:Y12"/>
    <mergeCell ref="Z12:AD12"/>
    <mergeCell ref="Z17:AD17"/>
    <mergeCell ref="A16:L16"/>
    <mergeCell ref="K11:O11"/>
    <mergeCell ref="K10:O10"/>
    <mergeCell ref="K12:O12"/>
    <mergeCell ref="P11:T11"/>
    <mergeCell ref="U11:Y11"/>
    <mergeCell ref="Z11:AD11"/>
    <mergeCell ref="U17:Y17"/>
    <mergeCell ref="U18:Y18"/>
    <mergeCell ref="U19:Y19"/>
    <mergeCell ref="AE19:AH19"/>
    <mergeCell ref="AE17:AH17"/>
    <mergeCell ref="AE18:AH18"/>
    <mergeCell ref="Z18:AD18"/>
    <mergeCell ref="A5:E5"/>
    <mergeCell ref="K5:O5"/>
    <mergeCell ref="A12:E12"/>
    <mergeCell ref="F12:J12"/>
    <mergeCell ref="F5:J5"/>
    <mergeCell ref="A10:E10"/>
    <mergeCell ref="F10:J10"/>
    <mergeCell ref="P10:T10"/>
    <mergeCell ref="U10:Y10"/>
    <mergeCell ref="Z10:AD10"/>
    <mergeCell ref="A11:E11"/>
    <mergeCell ref="F11:J11"/>
    <mergeCell ref="P4:T4"/>
    <mergeCell ref="Z4:AD4"/>
    <mergeCell ref="F4:J4"/>
    <mergeCell ref="A4:E4"/>
    <mergeCell ref="K4:O4"/>
    <mergeCell ref="A3:E3"/>
    <mergeCell ref="F3:J3"/>
    <mergeCell ref="K3:O3"/>
    <mergeCell ref="P3:T3"/>
    <mergeCell ref="U3:Y3"/>
    <mergeCell ref="Z30:AD30"/>
    <mergeCell ref="Z3:AD3"/>
    <mergeCell ref="U4:Y4"/>
    <mergeCell ref="Z5:AD5"/>
    <mergeCell ref="Z19:AD19"/>
    <mergeCell ref="U5:Y5"/>
    <mergeCell ref="A19:D19"/>
    <mergeCell ref="Q17:T17"/>
    <mergeCell ref="Q18:T18"/>
    <mergeCell ref="Q19:T19"/>
    <mergeCell ref="M17:P17"/>
    <mergeCell ref="M18:P18"/>
    <mergeCell ref="M19:P19"/>
    <mergeCell ref="I17:L17"/>
    <mergeCell ref="I18:L18"/>
    <mergeCell ref="I19:L19"/>
    <mergeCell ref="E17:H17"/>
    <mergeCell ref="E18:H18"/>
    <mergeCell ref="E19:H19"/>
    <mergeCell ref="A17:D17"/>
    <mergeCell ref="A18:D18"/>
  </mergeCells>
  <phoneticPr fontId="0" type="noConversion"/>
  <printOptions verticalCentered="1"/>
  <pageMargins left="0.75" right="0.25" top="0.5" bottom="0.75" header="0.5" footer="0.25"/>
  <pageSetup orientation="portrait" r:id="rId1"/>
  <headerFooter alignWithMargins="0">
    <oddFooter>&amp;L&amp;8&amp;F, &amp;A&amp;R&amp;8Prepared by NJDOT Capital Program Support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Zeros="0" topLeftCell="A13" zoomScaleNormal="100" workbookViewId="0">
      <selection activeCell="AE12" sqref="AE12"/>
    </sheetView>
  </sheetViews>
  <sheetFormatPr defaultRowHeight="13.2" x14ac:dyDescent="0.25"/>
  <cols>
    <col min="1" max="1" width="10.33203125" customWidth="1"/>
    <col min="2" max="2" width="5.5546875" customWidth="1"/>
    <col min="3" max="24" width="3.44140625" customWidth="1"/>
    <col min="25" max="25" width="4.44140625" customWidth="1"/>
    <col min="26" max="26" width="3.6640625" customWidth="1"/>
  </cols>
  <sheetData>
    <row r="1" spans="1:26" s="83" customFormat="1" ht="26.25" customHeight="1" x14ac:dyDescent="0.25">
      <c r="A1" s="76" t="s">
        <v>65</v>
      </c>
      <c r="B1" s="76"/>
      <c r="C1" s="76"/>
      <c r="D1" s="81"/>
      <c r="E1" s="81"/>
      <c r="F1" s="81"/>
      <c r="G1" s="81"/>
      <c r="H1" s="81"/>
      <c r="I1" s="81"/>
      <c r="J1" s="81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6" s="20" customFormat="1" ht="9.75" customHeight="1" x14ac:dyDescent="0.25">
      <c r="A2" s="38"/>
      <c r="B2" s="38"/>
      <c r="C2" s="38"/>
      <c r="D2" s="39"/>
      <c r="E2" s="39"/>
      <c r="F2" s="39"/>
      <c r="G2" s="39"/>
      <c r="H2" s="39"/>
      <c r="I2" s="39"/>
      <c r="J2" s="39"/>
      <c r="K2" s="40"/>
      <c r="L2" s="40"/>
      <c r="M2" s="40"/>
    </row>
    <row r="3" spans="1:26" s="20" customFormat="1" ht="12.75" customHeight="1" x14ac:dyDescent="0.25">
      <c r="A3" s="25" t="s">
        <v>66</v>
      </c>
      <c r="B3" s="25"/>
      <c r="C3" s="25"/>
      <c r="D3" s="24"/>
      <c r="E3" s="24"/>
      <c r="F3" s="24"/>
      <c r="G3" s="24"/>
      <c r="H3" s="24"/>
      <c r="I3" s="24"/>
      <c r="J3" s="24"/>
    </row>
    <row r="4" spans="1:26" ht="6" customHeight="1" thickBot="1" x14ac:dyDescent="0.3"/>
    <row r="5" spans="1:26" s="69" customFormat="1" ht="17.25" customHeight="1" thickBot="1" x14ac:dyDescent="0.3">
      <c r="A5" s="64" t="s">
        <v>67</v>
      </c>
      <c r="B5" s="63"/>
      <c r="C5" s="63"/>
      <c r="D5" s="63"/>
      <c r="E5" s="63"/>
      <c r="F5" s="65"/>
      <c r="G5" s="65"/>
      <c r="H5" s="66"/>
      <c r="I5" s="62" t="s">
        <v>68</v>
      </c>
      <c r="J5" s="63"/>
      <c r="K5" s="65"/>
      <c r="L5" s="65"/>
      <c r="M5" s="67"/>
      <c r="N5" s="62" t="s">
        <v>69</v>
      </c>
      <c r="O5" s="63"/>
      <c r="P5" s="63"/>
      <c r="Q5" s="63"/>
      <c r="R5" s="63"/>
      <c r="S5" s="67"/>
      <c r="T5" s="62" t="s">
        <v>70</v>
      </c>
      <c r="U5" s="63"/>
      <c r="V5" s="63"/>
      <c r="W5" s="63"/>
      <c r="X5" s="63"/>
      <c r="Y5" s="68"/>
    </row>
    <row r="6" spans="1:26" s="103" customFormat="1" ht="32.25" customHeight="1" thickBot="1" x14ac:dyDescent="0.3">
      <c r="A6" s="321" t="s">
        <v>71</v>
      </c>
      <c r="B6" s="478"/>
      <c r="C6" s="478"/>
      <c r="D6" s="478"/>
      <c r="E6" s="478"/>
      <c r="F6" s="478"/>
      <c r="G6" s="478"/>
      <c r="H6" s="479"/>
      <c r="I6" s="317" t="s">
        <v>131</v>
      </c>
      <c r="J6" s="478"/>
      <c r="K6" s="478"/>
      <c r="L6" s="478"/>
      <c r="M6" s="479"/>
      <c r="N6" s="317" t="s">
        <v>132</v>
      </c>
      <c r="O6" s="441"/>
      <c r="P6" s="441"/>
      <c r="Q6" s="441"/>
      <c r="R6" s="441"/>
      <c r="S6" s="443"/>
      <c r="T6" s="317" t="s">
        <v>133</v>
      </c>
      <c r="U6" s="441"/>
      <c r="V6" s="441"/>
      <c r="W6" s="441"/>
      <c r="X6" s="441"/>
      <c r="Y6" s="442"/>
    </row>
    <row r="7" spans="1:26" s="12" customFormat="1" ht="19.5" customHeight="1" x14ac:dyDescent="0.25">
      <c r="A7" s="56" t="s">
        <v>72</v>
      </c>
      <c r="B7" s="55"/>
      <c r="C7" s="55"/>
      <c r="D7" s="55"/>
      <c r="E7" s="55"/>
      <c r="F7" s="55"/>
      <c r="G7" s="55"/>
      <c r="H7" s="114"/>
      <c r="I7" s="482">
        <v>37.5</v>
      </c>
      <c r="J7" s="483"/>
      <c r="K7" s="483"/>
      <c r="L7" s="483"/>
      <c r="M7" s="484"/>
      <c r="N7" s="491">
        <v>199.8</v>
      </c>
      <c r="O7" s="483"/>
      <c r="P7" s="483"/>
      <c r="Q7" s="483"/>
      <c r="R7" s="483"/>
      <c r="S7" s="484"/>
      <c r="T7" s="492">
        <f>ROUND(N7/I7,2)</f>
        <v>5.33</v>
      </c>
      <c r="U7" s="493"/>
      <c r="V7" s="493"/>
      <c r="W7" s="493"/>
      <c r="X7" s="493"/>
      <c r="Y7" s="494"/>
    </row>
    <row r="8" spans="1:26" s="23" customFormat="1" ht="19.5" customHeight="1" x14ac:dyDescent="0.25">
      <c r="A8" s="57" t="s">
        <v>73</v>
      </c>
      <c r="B8" s="1"/>
      <c r="C8" s="1"/>
      <c r="D8" s="1"/>
      <c r="E8" s="1"/>
      <c r="F8" s="14"/>
      <c r="G8" s="14"/>
      <c r="H8" s="115"/>
      <c r="I8" s="485"/>
      <c r="J8" s="486"/>
      <c r="K8" s="486"/>
      <c r="L8" s="486"/>
      <c r="M8" s="487"/>
      <c r="N8" s="485"/>
      <c r="O8" s="486"/>
      <c r="P8" s="486"/>
      <c r="Q8" s="486"/>
      <c r="R8" s="486"/>
      <c r="S8" s="487"/>
      <c r="T8" s="495"/>
      <c r="U8" s="496"/>
      <c r="V8" s="496"/>
      <c r="W8" s="496"/>
      <c r="X8" s="496"/>
      <c r="Y8" s="497"/>
    </row>
    <row r="9" spans="1:26" s="23" customFormat="1" ht="10.5" customHeight="1" x14ac:dyDescent="0.25">
      <c r="A9" s="57"/>
      <c r="B9" s="1"/>
      <c r="C9" s="1"/>
      <c r="D9" s="1"/>
      <c r="E9" s="1"/>
      <c r="F9" s="14"/>
      <c r="G9" s="14"/>
      <c r="H9" s="115"/>
      <c r="I9" s="488"/>
      <c r="J9" s="489"/>
      <c r="K9" s="489"/>
      <c r="L9" s="489"/>
      <c r="M9" s="490"/>
      <c r="N9" s="488"/>
      <c r="O9" s="489"/>
      <c r="P9" s="489"/>
      <c r="Q9" s="489"/>
      <c r="R9" s="489"/>
      <c r="S9" s="490"/>
      <c r="T9" s="498"/>
      <c r="U9" s="499"/>
      <c r="V9" s="499"/>
      <c r="W9" s="499"/>
      <c r="X9" s="499"/>
      <c r="Y9" s="500"/>
    </row>
    <row r="10" spans="1:26" s="12" customFormat="1" ht="19.5" customHeight="1" x14ac:dyDescent="0.25">
      <c r="A10" s="60" t="s">
        <v>74</v>
      </c>
      <c r="B10" s="61"/>
      <c r="C10" s="61"/>
      <c r="D10" s="61"/>
      <c r="E10" s="61"/>
      <c r="F10" s="61"/>
      <c r="G10" s="61"/>
      <c r="H10" s="116"/>
      <c r="I10" s="501">
        <v>38.799999999999997</v>
      </c>
      <c r="J10" s="502"/>
      <c r="K10" s="502"/>
      <c r="L10" s="502"/>
      <c r="M10" s="503"/>
      <c r="N10" s="507">
        <v>234.8</v>
      </c>
      <c r="O10" s="502"/>
      <c r="P10" s="502"/>
      <c r="Q10" s="502"/>
      <c r="R10" s="502"/>
      <c r="S10" s="503"/>
      <c r="T10" s="508">
        <f>ROUND(N10/I10,2)</f>
        <v>6.05</v>
      </c>
      <c r="U10" s="509"/>
      <c r="V10" s="509"/>
      <c r="W10" s="509"/>
      <c r="X10" s="509"/>
      <c r="Y10" s="510"/>
    </row>
    <row r="11" spans="1:26" s="12" customFormat="1" ht="19.5" customHeight="1" x14ac:dyDescent="0.25">
      <c r="A11" s="57" t="s">
        <v>75</v>
      </c>
      <c r="B11" s="1"/>
      <c r="C11" s="1"/>
      <c r="D11" s="1"/>
      <c r="E11" s="1"/>
      <c r="F11" s="14"/>
      <c r="G11" s="14"/>
      <c r="H11" s="115"/>
      <c r="I11" s="485"/>
      <c r="J11" s="486"/>
      <c r="K11" s="486"/>
      <c r="L11" s="486"/>
      <c r="M11" s="487"/>
      <c r="N11" s="485"/>
      <c r="O11" s="486"/>
      <c r="P11" s="486"/>
      <c r="Q11" s="486"/>
      <c r="R11" s="486"/>
      <c r="S11" s="487"/>
      <c r="T11" s="495"/>
      <c r="U11" s="496"/>
      <c r="V11" s="496"/>
      <c r="W11" s="496"/>
      <c r="X11" s="496"/>
      <c r="Y11" s="497"/>
    </row>
    <row r="12" spans="1:26" s="23" customFormat="1" ht="11.25" customHeight="1" thickBot="1" x14ac:dyDescent="0.3">
      <c r="A12" s="58"/>
      <c r="B12" s="59"/>
      <c r="C12" s="59"/>
      <c r="D12" s="59"/>
      <c r="E12" s="59"/>
      <c r="F12" s="117"/>
      <c r="G12" s="117"/>
      <c r="H12" s="118"/>
      <c r="I12" s="504"/>
      <c r="J12" s="505"/>
      <c r="K12" s="505"/>
      <c r="L12" s="505"/>
      <c r="M12" s="506"/>
      <c r="N12" s="504"/>
      <c r="O12" s="505"/>
      <c r="P12" s="505"/>
      <c r="Q12" s="505"/>
      <c r="R12" s="505"/>
      <c r="S12" s="506"/>
      <c r="T12" s="511"/>
      <c r="U12" s="512"/>
      <c r="V12" s="512"/>
      <c r="W12" s="512"/>
      <c r="X12" s="512"/>
      <c r="Y12" s="513"/>
    </row>
    <row r="13" spans="1:26" s="12" customFormat="1" ht="5.25" customHeight="1" x14ac:dyDescent="0.25"/>
    <row r="14" spans="1:26" s="9" customFormat="1" ht="20.100000000000001" customHeight="1" x14ac:dyDescent="0.3">
      <c r="A14" s="189" t="s">
        <v>126</v>
      </c>
      <c r="B14" s="23"/>
      <c r="C14" s="23"/>
      <c r="D14" s="23"/>
      <c r="U14" s="526" t="s">
        <v>193</v>
      </c>
      <c r="V14" s="527"/>
      <c r="W14" s="527"/>
      <c r="X14" s="527"/>
      <c r="Y14" s="527"/>
    </row>
    <row r="15" spans="1:26" s="9" customFormat="1" ht="55.5" customHeight="1" x14ac:dyDescent="0.25">
      <c r="A15" s="174"/>
      <c r="B15" s="23"/>
      <c r="C15" s="23"/>
      <c r="D15" s="23"/>
    </row>
    <row r="16" spans="1:26" ht="28.5" customHeight="1" thickBot="1" x14ac:dyDescent="0.3">
      <c r="A16" s="25" t="s">
        <v>76</v>
      </c>
      <c r="B16" s="25"/>
      <c r="Y16" s="9"/>
      <c r="Z16" s="9"/>
    </row>
    <row r="17" spans="1:26" s="6" customFormat="1" ht="17.25" customHeight="1" thickBot="1" x14ac:dyDescent="0.3">
      <c r="A17" s="191" t="s">
        <v>77</v>
      </c>
      <c r="B17" s="192" t="s">
        <v>78</v>
      </c>
      <c r="C17" s="193"/>
      <c r="D17" s="193"/>
      <c r="E17" s="192" t="s">
        <v>79</v>
      </c>
      <c r="F17" s="126"/>
      <c r="G17" s="126"/>
      <c r="H17" s="192" t="s">
        <v>80</v>
      </c>
      <c r="I17" s="193"/>
      <c r="J17" s="126"/>
      <c r="K17" s="192" t="s">
        <v>81</v>
      </c>
      <c r="L17" s="126"/>
      <c r="M17" s="193"/>
      <c r="N17" s="193"/>
      <c r="O17" s="193"/>
      <c r="P17" s="192" t="s">
        <v>82</v>
      </c>
      <c r="Q17" s="193"/>
      <c r="R17" s="193"/>
      <c r="S17" s="193"/>
      <c r="T17" s="193"/>
      <c r="U17" s="192" t="s">
        <v>83</v>
      </c>
      <c r="V17" s="193"/>
      <c r="W17" s="193"/>
      <c r="X17" s="193"/>
      <c r="Y17" s="153"/>
    </row>
    <row r="18" spans="1:26" s="105" customFormat="1" ht="57" customHeight="1" thickBot="1" x14ac:dyDescent="0.3">
      <c r="A18" s="104" t="s">
        <v>134</v>
      </c>
      <c r="B18" s="317" t="s">
        <v>135</v>
      </c>
      <c r="C18" s="441"/>
      <c r="D18" s="443"/>
      <c r="E18" s="317" t="s">
        <v>172</v>
      </c>
      <c r="F18" s="480"/>
      <c r="G18" s="481"/>
      <c r="H18" s="317" t="s">
        <v>173</v>
      </c>
      <c r="I18" s="480"/>
      <c r="J18" s="481"/>
      <c r="K18" s="317" t="s">
        <v>130</v>
      </c>
      <c r="L18" s="480"/>
      <c r="M18" s="480"/>
      <c r="N18" s="480"/>
      <c r="O18" s="481"/>
      <c r="P18" s="317" t="s">
        <v>174</v>
      </c>
      <c r="Q18" s="441"/>
      <c r="R18" s="441"/>
      <c r="S18" s="441"/>
      <c r="T18" s="443"/>
      <c r="U18" s="317" t="s">
        <v>129</v>
      </c>
      <c r="V18" s="441"/>
      <c r="W18" s="441"/>
      <c r="X18" s="441"/>
      <c r="Y18" s="442"/>
    </row>
    <row r="19" spans="1:26" s="108" customFormat="1" ht="30" customHeight="1" x14ac:dyDescent="0.25">
      <c r="A19" s="70" t="s">
        <v>84</v>
      </c>
      <c r="B19" s="194">
        <v>3</v>
      </c>
      <c r="C19" s="195"/>
      <c r="D19" s="195"/>
      <c r="E19" s="196">
        <v>0.18190000000000001</v>
      </c>
      <c r="F19" s="197"/>
      <c r="G19" s="198"/>
      <c r="H19" s="194">
        <v>0.06</v>
      </c>
      <c r="I19" s="198"/>
      <c r="J19" s="198"/>
      <c r="K19" s="514">
        <f>ROUND(B19*T10,2)</f>
        <v>18.149999999999999</v>
      </c>
      <c r="L19" s="515"/>
      <c r="M19" s="515"/>
      <c r="N19" s="515"/>
      <c r="O19" s="516"/>
      <c r="P19" s="517">
        <f>ROUND(E19*T7,4)</f>
        <v>0.96950000000000003</v>
      </c>
      <c r="Q19" s="515"/>
      <c r="R19" s="515"/>
      <c r="S19" s="515"/>
      <c r="T19" s="516"/>
      <c r="U19" s="518">
        <f>ROUND(H19*T7,3)</f>
        <v>0.32</v>
      </c>
      <c r="V19" s="515"/>
      <c r="W19" s="515"/>
      <c r="X19" s="515"/>
      <c r="Y19" s="519"/>
    </row>
    <row r="20" spans="1:26" s="108" customFormat="1" ht="30" customHeight="1" thickBot="1" x14ac:dyDescent="0.3">
      <c r="A20" s="109" t="s">
        <v>85</v>
      </c>
      <c r="B20" s="110">
        <v>5</v>
      </c>
      <c r="C20" s="111"/>
      <c r="D20" s="111"/>
      <c r="E20" s="112">
        <v>0.2092</v>
      </c>
      <c r="F20" s="199"/>
      <c r="G20" s="113"/>
      <c r="H20" s="110">
        <v>0.12</v>
      </c>
      <c r="I20" s="113"/>
      <c r="J20" s="113"/>
      <c r="K20" s="520">
        <f>ROUND(B20*T10,2)</f>
        <v>30.25</v>
      </c>
      <c r="L20" s="521"/>
      <c r="M20" s="521"/>
      <c r="N20" s="521"/>
      <c r="O20" s="522"/>
      <c r="P20" s="523">
        <f>ROUND(E20*T7,4)</f>
        <v>1.115</v>
      </c>
      <c r="Q20" s="521"/>
      <c r="R20" s="521"/>
      <c r="S20" s="521"/>
      <c r="T20" s="522"/>
      <c r="U20" s="524">
        <f>ROUND(H20*T7,3)</f>
        <v>0.64</v>
      </c>
      <c r="V20" s="521"/>
      <c r="W20" s="521"/>
      <c r="X20" s="521"/>
      <c r="Y20" s="525"/>
    </row>
    <row r="21" spans="1:26" x14ac:dyDescent="0.25">
      <c r="Y21" s="9"/>
      <c r="Z21" s="9"/>
    </row>
    <row r="22" spans="1:26" ht="17.399999999999999" x14ac:dyDescent="0.25">
      <c r="A22" s="177"/>
      <c r="Y22" s="9"/>
      <c r="Z22" s="9"/>
    </row>
    <row r="35" spans="1:25" ht="15.6" x14ac:dyDescent="0.3">
      <c r="A35" s="25" t="s">
        <v>29</v>
      </c>
      <c r="B35" s="25"/>
      <c r="C35" s="272" t="str">
        <f>'3.1 Work Zone Analysis'!D42</f>
        <v xml:space="preserve">EXAMPLE 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U35" s="206" t="s">
        <v>30</v>
      </c>
      <c r="V35" s="423">
        <f>'3.1 Work Zone Analysis'!L42</f>
        <v>42005</v>
      </c>
      <c r="W35" s="423"/>
      <c r="X35" s="423"/>
      <c r="Y35" s="423"/>
    </row>
    <row r="36" spans="1:25" ht="4.5" customHeight="1" x14ac:dyDescent="0.25">
      <c r="A36" s="9"/>
      <c r="B36" s="9"/>
      <c r="C36" s="9"/>
      <c r="D36" s="164"/>
      <c r="E36" s="7"/>
      <c r="F36" s="7"/>
      <c r="G36" s="10"/>
      <c r="W36" s="9"/>
    </row>
    <row r="37" spans="1:25" ht="15.6" x14ac:dyDescent="0.3">
      <c r="A37" s="25" t="s">
        <v>31</v>
      </c>
      <c r="B37" s="25"/>
      <c r="C37" s="272" t="str">
        <f>'3.1 Work Zone Analysis'!D44</f>
        <v>Route</v>
      </c>
      <c r="D37" s="157"/>
      <c r="E37" s="19"/>
      <c r="F37" s="19"/>
      <c r="G37" s="18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5" x14ac:dyDescent="0.25">
      <c r="A38" s="9"/>
      <c r="B38" s="9"/>
      <c r="C38" s="9"/>
      <c r="D38" s="10"/>
      <c r="E38" s="7"/>
      <c r="F38" s="7"/>
      <c r="G38" s="10"/>
    </row>
  </sheetData>
  <mergeCells count="24">
    <mergeCell ref="V35:Y35"/>
    <mergeCell ref="I7:M9"/>
    <mergeCell ref="N7:S9"/>
    <mergeCell ref="T7:Y9"/>
    <mergeCell ref="I10:M12"/>
    <mergeCell ref="N10:S12"/>
    <mergeCell ref="T10:Y12"/>
    <mergeCell ref="K19:O19"/>
    <mergeCell ref="P19:T19"/>
    <mergeCell ref="U19:Y19"/>
    <mergeCell ref="K20:O20"/>
    <mergeCell ref="P20:T20"/>
    <mergeCell ref="U20:Y20"/>
    <mergeCell ref="U14:Y14"/>
    <mergeCell ref="A6:H6"/>
    <mergeCell ref="I6:M6"/>
    <mergeCell ref="N6:S6"/>
    <mergeCell ref="T6:Y6"/>
    <mergeCell ref="B18:D18"/>
    <mergeCell ref="E18:G18"/>
    <mergeCell ref="H18:J18"/>
    <mergeCell ref="K18:O18"/>
    <mergeCell ref="P18:T18"/>
    <mergeCell ref="U18:Y18"/>
  </mergeCells>
  <phoneticPr fontId="0" type="noConversion"/>
  <printOptions verticalCentered="1"/>
  <pageMargins left="0.75" right="0.25" top="1" bottom="0.75" header="0.5" footer="0.25"/>
  <pageSetup orientation="portrait" r:id="rId1"/>
  <headerFooter alignWithMargins="0">
    <oddFooter>&amp;L&amp;8&amp;F, &amp;A&amp;R&amp;8Prepared by NJDOT Capital Program Support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Normal="100" workbookViewId="0">
      <selection activeCell="L10" sqref="L10"/>
    </sheetView>
  </sheetViews>
  <sheetFormatPr defaultColWidth="9.109375" defaultRowHeight="13.2" x14ac:dyDescent="0.25"/>
  <cols>
    <col min="1" max="1" width="12.109375" style="12" customWidth="1"/>
    <col min="2" max="2" width="8.5546875" style="12" customWidth="1"/>
    <col min="3" max="3" width="7.33203125" style="12" customWidth="1"/>
    <col min="4" max="5" width="8" style="6" customWidth="1"/>
    <col min="6" max="6" width="11" style="9" customWidth="1"/>
    <col min="7" max="10" width="17.6640625" style="9" customWidth="1"/>
    <col min="11" max="16384" width="9.109375" style="9"/>
  </cols>
  <sheetData>
    <row r="1" spans="1:13" s="92" customFormat="1" ht="19.5" customHeight="1" x14ac:dyDescent="0.3">
      <c r="A1" s="91" t="s">
        <v>104</v>
      </c>
      <c r="B1" s="91"/>
      <c r="C1" s="91"/>
      <c r="D1" s="76"/>
      <c r="E1" s="76"/>
      <c r="F1" s="91"/>
      <c r="G1" s="91"/>
      <c r="H1" s="91"/>
      <c r="I1" s="91"/>
      <c r="J1" s="91"/>
    </row>
    <row r="2" spans="1:13" ht="17.25" customHeight="1" thickBot="1" x14ac:dyDescent="0.3"/>
    <row r="3" spans="1:13" s="16" customFormat="1" ht="15.75" customHeight="1" thickBot="1" x14ac:dyDescent="0.3">
      <c r="A3" s="37" t="s">
        <v>86</v>
      </c>
      <c r="B3" s="32"/>
      <c r="C3" s="32"/>
      <c r="D3" s="142" t="s">
        <v>87</v>
      </c>
      <c r="E3" s="142" t="s">
        <v>88</v>
      </c>
      <c r="F3" s="33" t="s">
        <v>89</v>
      </c>
      <c r="G3" s="33" t="s">
        <v>90</v>
      </c>
      <c r="H3" s="142" t="s">
        <v>91</v>
      </c>
      <c r="I3" s="143" t="s">
        <v>92</v>
      </c>
      <c r="J3" s="144" t="s">
        <v>93</v>
      </c>
    </row>
    <row r="4" spans="1:13" s="99" customFormat="1" ht="43.5" customHeight="1" thickBot="1" x14ac:dyDescent="0.3">
      <c r="A4" s="72" t="s">
        <v>105</v>
      </c>
      <c r="B4" s="73"/>
      <c r="C4" s="73"/>
      <c r="D4" s="98" t="s">
        <v>94</v>
      </c>
      <c r="E4" s="98" t="s">
        <v>175</v>
      </c>
      <c r="F4" s="75" t="s">
        <v>176</v>
      </c>
      <c r="G4" s="75" t="s">
        <v>177</v>
      </c>
      <c r="H4" s="98" t="s">
        <v>178</v>
      </c>
      <c r="I4" s="98" t="s">
        <v>179</v>
      </c>
      <c r="J4" s="145" t="s">
        <v>180</v>
      </c>
    </row>
    <row r="5" spans="1:13" s="42" customFormat="1" ht="21.9" customHeight="1" x14ac:dyDescent="0.25">
      <c r="A5" s="146" t="s">
        <v>114</v>
      </c>
      <c r="B5" s="93"/>
      <c r="C5" s="93"/>
      <c r="D5" s="95" t="s">
        <v>84</v>
      </c>
      <c r="E5" s="216">
        <f>F$18*100</f>
        <v>90</v>
      </c>
      <c r="F5" s="165">
        <f>F$15</f>
        <v>27900</v>
      </c>
      <c r="G5" s="531"/>
      <c r="H5" s="240">
        <v>8.1000000000000003E-2</v>
      </c>
      <c r="I5" s="120">
        <f>'3.4 Escalation &amp; Cost Rates'!K$19</f>
        <v>18.149999999999999</v>
      </c>
      <c r="J5" s="168">
        <f t="shared" ref="J5:J12" si="0">ROUND(E5/100*F5*H5*I5,0)</f>
        <v>36915</v>
      </c>
    </row>
    <row r="6" spans="1:13" s="42" customFormat="1" ht="21.9" customHeight="1" x14ac:dyDescent="0.25">
      <c r="A6" s="147" t="s">
        <v>95</v>
      </c>
      <c r="B6" s="94"/>
      <c r="C6" s="94"/>
      <c r="D6" s="96" t="s">
        <v>85</v>
      </c>
      <c r="E6" s="217">
        <f>F$19*100</f>
        <v>10</v>
      </c>
      <c r="F6" s="166">
        <f>F$15</f>
        <v>27900</v>
      </c>
      <c r="G6" s="532"/>
      <c r="H6" s="241">
        <v>8.1000000000000003E-2</v>
      </c>
      <c r="I6" s="43">
        <f>'3.4 Escalation &amp; Cost Rates'!K$20</f>
        <v>30.25</v>
      </c>
      <c r="J6" s="175">
        <f t="shared" si="0"/>
        <v>6836</v>
      </c>
    </row>
    <row r="7" spans="1:13" s="42" customFormat="1" ht="21.9" customHeight="1" x14ac:dyDescent="0.25">
      <c r="A7" s="148" t="s">
        <v>115</v>
      </c>
      <c r="B7" s="97"/>
      <c r="C7" s="97"/>
      <c r="D7" s="96" t="s">
        <v>84</v>
      </c>
      <c r="E7" s="217">
        <f>F$18*100</f>
        <v>90</v>
      </c>
      <c r="F7" s="190">
        <f>F$15</f>
        <v>27900</v>
      </c>
      <c r="G7" s="532"/>
      <c r="H7" s="241">
        <v>8.1000000000000003E-2</v>
      </c>
      <c r="I7" s="167">
        <f>'3.4 Escalation &amp; Cost Rates'!P19</f>
        <v>0.96950000000000003</v>
      </c>
      <c r="J7" s="175">
        <f t="shared" si="0"/>
        <v>1972</v>
      </c>
    </row>
    <row r="8" spans="1:13" s="42" customFormat="1" ht="21.9" customHeight="1" thickBot="1" x14ac:dyDescent="0.3">
      <c r="A8" s="147" t="s">
        <v>96</v>
      </c>
      <c r="B8" s="94"/>
      <c r="C8" s="94"/>
      <c r="D8" s="96" t="s">
        <v>85</v>
      </c>
      <c r="E8" s="218">
        <f>F$19*100</f>
        <v>10</v>
      </c>
      <c r="F8" s="166">
        <f>F$15</f>
        <v>27900</v>
      </c>
      <c r="G8" s="532"/>
      <c r="H8" s="241">
        <v>8.1000000000000003E-2</v>
      </c>
      <c r="I8" s="167">
        <f>'3.4 Escalation &amp; Cost Rates'!P20</f>
        <v>1.115</v>
      </c>
      <c r="J8" s="175">
        <f t="shared" si="0"/>
        <v>252</v>
      </c>
    </row>
    <row r="9" spans="1:13" s="42" customFormat="1" ht="21.9" customHeight="1" x14ac:dyDescent="0.25">
      <c r="A9" s="528" t="s">
        <v>185</v>
      </c>
      <c r="B9" s="529"/>
      <c r="C9" s="530"/>
      <c r="D9" s="95" t="s">
        <v>84</v>
      </c>
      <c r="E9" s="216">
        <f>F$18*100</f>
        <v>90</v>
      </c>
      <c r="F9" s="165">
        <f>F$16</f>
        <v>50000</v>
      </c>
      <c r="G9" s="532"/>
      <c r="H9" s="240">
        <v>1.2E-2</v>
      </c>
      <c r="I9" s="120">
        <f>'3.4 Escalation &amp; Cost Rates'!K$19</f>
        <v>18.149999999999999</v>
      </c>
      <c r="J9" s="168">
        <f t="shared" si="0"/>
        <v>9801</v>
      </c>
      <c r="M9" s="262" t="s">
        <v>118</v>
      </c>
    </row>
    <row r="10" spans="1:13" s="42" customFormat="1" ht="21.9" customHeight="1" thickBot="1" x14ac:dyDescent="0.3">
      <c r="A10" s="147" t="s">
        <v>95</v>
      </c>
      <c r="B10" s="94"/>
      <c r="C10" s="94"/>
      <c r="D10" s="96" t="s">
        <v>85</v>
      </c>
      <c r="E10" s="218">
        <f>F$19*100</f>
        <v>10</v>
      </c>
      <c r="F10" s="166">
        <f>F$16</f>
        <v>50000</v>
      </c>
      <c r="G10" s="532"/>
      <c r="H10" s="241">
        <v>1.2E-2</v>
      </c>
      <c r="I10" s="43">
        <f>'3.4 Escalation &amp; Cost Rates'!K$20</f>
        <v>30.25</v>
      </c>
      <c r="J10" s="176">
        <f t="shared" si="0"/>
        <v>1815</v>
      </c>
    </row>
    <row r="11" spans="1:13" s="42" customFormat="1" ht="21.9" customHeight="1" x14ac:dyDescent="0.25">
      <c r="A11" s="146" t="s">
        <v>97</v>
      </c>
      <c r="B11" s="93"/>
      <c r="C11" s="93"/>
      <c r="D11" s="95" t="s">
        <v>84</v>
      </c>
      <c r="E11" s="219">
        <f>F$18*100</f>
        <v>90</v>
      </c>
      <c r="F11" s="213">
        <f>F$17</f>
        <v>0</v>
      </c>
      <c r="G11" s="532"/>
      <c r="H11" s="242">
        <v>0</v>
      </c>
      <c r="I11" s="120">
        <f>'3.4 Escalation &amp; Cost Rates'!K$19</f>
        <v>18.149999999999999</v>
      </c>
      <c r="J11" s="168">
        <f t="shared" si="0"/>
        <v>0</v>
      </c>
    </row>
    <row r="12" spans="1:13" s="42" customFormat="1" ht="21.9" customHeight="1" x14ac:dyDescent="0.25">
      <c r="A12" s="147" t="s">
        <v>95</v>
      </c>
      <c r="B12" s="94"/>
      <c r="C12" s="94"/>
      <c r="D12" s="96" t="s">
        <v>85</v>
      </c>
      <c r="E12" s="217">
        <f>F$19*100</f>
        <v>10</v>
      </c>
      <c r="F12" s="214">
        <f>F$17</f>
        <v>0</v>
      </c>
      <c r="G12" s="533"/>
      <c r="H12" s="243">
        <v>0</v>
      </c>
      <c r="I12" s="43">
        <f>'3.4 Escalation &amp; Cost Rates'!K$20</f>
        <v>30.25</v>
      </c>
      <c r="J12" s="175">
        <f t="shared" si="0"/>
        <v>0</v>
      </c>
    </row>
    <row r="13" spans="1:13" s="42" customFormat="1" ht="21.9" customHeight="1" x14ac:dyDescent="0.25">
      <c r="A13" s="148" t="s">
        <v>98</v>
      </c>
      <c r="B13" s="97"/>
      <c r="C13" s="97"/>
      <c r="D13" s="96" t="s">
        <v>84</v>
      </c>
      <c r="E13" s="217">
        <f>F$18*100</f>
        <v>90</v>
      </c>
      <c r="F13" s="214">
        <f>F$17</f>
        <v>0</v>
      </c>
      <c r="G13" s="244">
        <v>0</v>
      </c>
      <c r="H13" s="106"/>
      <c r="I13" s="44">
        <f>'3.4 Escalation &amp; Cost Rates'!U19</f>
        <v>0.32</v>
      </c>
      <c r="J13" s="175">
        <f>ROUND(E13/100*F13*G13*I13,0)</f>
        <v>0</v>
      </c>
    </row>
    <row r="14" spans="1:13" s="42" customFormat="1" ht="21.9" customHeight="1" thickBot="1" x14ac:dyDescent="0.3">
      <c r="A14" s="149" t="s">
        <v>96</v>
      </c>
      <c r="B14" s="150"/>
      <c r="C14" s="150"/>
      <c r="D14" s="151" t="s">
        <v>85</v>
      </c>
      <c r="E14" s="218">
        <f>F$19*100</f>
        <v>10</v>
      </c>
      <c r="F14" s="215">
        <f>F$17</f>
        <v>0</v>
      </c>
      <c r="G14" s="245">
        <v>0</v>
      </c>
      <c r="H14" s="107"/>
      <c r="I14" s="220">
        <f>'3.4 Escalation &amp; Cost Rates'!U20</f>
        <v>0.64</v>
      </c>
      <c r="J14" s="176">
        <f>ROUND(E14/100*F14*G14*I14,0)</f>
        <v>0</v>
      </c>
    </row>
    <row r="15" spans="1:13" ht="21.9" customHeight="1" x14ac:dyDescent="0.3">
      <c r="A15" s="121" t="s">
        <v>99</v>
      </c>
      <c r="B15"/>
      <c r="C15"/>
      <c r="D15"/>
      <c r="E15"/>
      <c r="F15" s="239">
        <v>27900</v>
      </c>
      <c r="G15"/>
      <c r="H15" s="152" t="s">
        <v>116</v>
      </c>
      <c r="I15" s="17"/>
      <c r="J15" s="169">
        <f>SUM(J5:J14)</f>
        <v>57591</v>
      </c>
    </row>
    <row r="16" spans="1:13" ht="21.9" customHeight="1" x14ac:dyDescent="0.3">
      <c r="A16" s="121" t="s">
        <v>100</v>
      </c>
      <c r="B16"/>
      <c r="C16"/>
      <c r="D16"/>
      <c r="E16"/>
      <c r="F16" s="239">
        <v>50000</v>
      </c>
      <c r="G16" s="12"/>
      <c r="H16" s="152" t="s">
        <v>103</v>
      </c>
      <c r="I16" s="17"/>
      <c r="J16" s="169">
        <f>J15/100*75</f>
        <v>43193.25</v>
      </c>
    </row>
    <row r="17" spans="1:15" ht="21.9" customHeight="1" x14ac:dyDescent="0.3">
      <c r="A17" s="121" t="s">
        <v>101</v>
      </c>
      <c r="B17"/>
      <c r="C17"/>
      <c r="D17"/>
      <c r="E17"/>
      <c r="F17" s="239">
        <v>0</v>
      </c>
      <c r="G17" s="12"/>
      <c r="H17" s="261" t="s">
        <v>181</v>
      </c>
      <c r="I17" s="17"/>
      <c r="J17" s="246">
        <v>1</v>
      </c>
    </row>
    <row r="18" spans="1:15" ht="21.9" customHeight="1" x14ac:dyDescent="0.25">
      <c r="A18" s="182" t="s">
        <v>102</v>
      </c>
      <c r="B18"/>
      <c r="C18"/>
      <c r="D18"/>
      <c r="E18"/>
      <c r="F18" s="181">
        <f>'3.1 Work Zone Analysis'!G4/100</f>
        <v>0.9</v>
      </c>
      <c r="G18" s="12"/>
      <c r="H18" s="207" t="s">
        <v>127</v>
      </c>
      <c r="I18" s="208"/>
      <c r="J18" s="209">
        <f>IF(J17&gt;0,J16*J17,"  ")</f>
        <v>43193.25</v>
      </c>
    </row>
    <row r="19" spans="1:15" ht="21.9" customHeight="1" thickBot="1" x14ac:dyDescent="0.3">
      <c r="A19" s="182" t="s">
        <v>3</v>
      </c>
      <c r="B19"/>
      <c r="C19"/>
      <c r="D19"/>
      <c r="E19"/>
      <c r="F19" s="181">
        <f>'3.1 Work Zone Analysis'!G5/100</f>
        <v>0.1</v>
      </c>
      <c r="G19"/>
      <c r="H19" s="210" t="s">
        <v>106</v>
      </c>
      <c r="I19" s="211"/>
      <c r="J19" s="287" t="str">
        <f>IF(J17&lt;1,J16/60,"  ")</f>
        <v xml:space="preserve">  </v>
      </c>
    </row>
    <row r="20" spans="1:15" ht="21.9" customHeight="1" x14ac:dyDescent="0.25">
      <c r="A20" s="182"/>
      <c r="B20"/>
      <c r="C20"/>
      <c r="D20"/>
      <c r="E20"/>
      <c r="F20" s="203"/>
      <c r="G20"/>
      <c r="H20" s="204"/>
      <c r="I20" s="11"/>
      <c r="J20" s="205"/>
    </row>
    <row r="21" spans="1:15" ht="21.9" customHeight="1" x14ac:dyDescent="0.25">
      <c r="A21" s="182"/>
      <c r="B21"/>
      <c r="C21"/>
      <c r="D21"/>
      <c r="E21"/>
      <c r="F21" s="203"/>
      <c r="G21"/>
      <c r="H21" s="204"/>
      <c r="I21" s="11"/>
      <c r="J21" s="205"/>
    </row>
    <row r="22" spans="1:15" customFormat="1" ht="18" customHeight="1" x14ac:dyDescent="0.25"/>
    <row r="23" spans="1:15" customFormat="1" ht="15.6" x14ac:dyDescent="0.3">
      <c r="A23" s="306" t="s">
        <v>29</v>
      </c>
      <c r="B23" s="272" t="str">
        <f>'3.1 Work Zone Analysis'!D42</f>
        <v xml:space="preserve">EXAMPLE </v>
      </c>
      <c r="C23" s="22"/>
      <c r="D23" s="22"/>
      <c r="E23" s="22"/>
      <c r="F23" s="22"/>
      <c r="G23" s="22"/>
      <c r="H23" s="22"/>
      <c r="I23" s="122" t="s">
        <v>30</v>
      </c>
      <c r="J23" s="273">
        <f>'3.1 Work Zone Analysis'!L42</f>
        <v>42005</v>
      </c>
      <c r="K23" s="227"/>
      <c r="L23" s="13"/>
      <c r="M23" s="13"/>
      <c r="N23" s="9"/>
      <c r="O23" s="9"/>
    </row>
    <row r="24" spans="1:15" customFormat="1" ht="4.5" customHeight="1" x14ac:dyDescent="0.25">
      <c r="B24" s="170"/>
    </row>
    <row r="25" spans="1:15" customFormat="1" ht="15.6" x14ac:dyDescent="0.3">
      <c r="A25" s="182" t="s">
        <v>31</v>
      </c>
      <c r="B25" s="272" t="str">
        <f>'3.1 Work Zone Analysis'!D44</f>
        <v>Route</v>
      </c>
      <c r="C25" s="22"/>
      <c r="D25" s="22"/>
      <c r="E25" s="22"/>
      <c r="F25" s="22"/>
      <c r="G25" s="22"/>
      <c r="H25" s="22"/>
      <c r="I25" s="22"/>
      <c r="J25" s="22"/>
    </row>
    <row r="26" spans="1:15" customFormat="1" x14ac:dyDescent="0.25"/>
  </sheetData>
  <mergeCells count="2">
    <mergeCell ref="A9:C9"/>
    <mergeCell ref="G5:G12"/>
  </mergeCells>
  <phoneticPr fontId="0" type="noConversion"/>
  <printOptions verticalCentered="1"/>
  <pageMargins left="0.75" right="0.25" top="0.75" bottom="0.75" header="0.25" footer="0.25"/>
  <pageSetup orientation="landscape" r:id="rId1"/>
  <headerFooter alignWithMargins="0">
    <oddFooter>&amp;L&amp;8&amp;F, &amp;A&amp;R&amp;8Prepared by NJDOT Capital Program Support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3.1 Work Zone Analysis</vt:lpstr>
      <vt:lpstr>3.2 Queue Delay</vt:lpstr>
      <vt:lpstr>3.3 Work Zone &amp; Circuity Delays</vt:lpstr>
      <vt:lpstr>3.4 Escalation &amp; Cost Rates</vt:lpstr>
      <vt:lpstr>3.5 Road User Costs</vt:lpstr>
      <vt:lpstr>'3.3 Work Zone &amp; Circuity Delays'!Print_Area</vt:lpstr>
      <vt:lpstr>'3.5 Road User Costs'!Print_Area</vt:lpstr>
    </vt:vector>
  </TitlesOfParts>
  <Company>NJDOT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TPWSIND</dc:creator>
  <cp:lastModifiedBy>Administrator</cp:lastModifiedBy>
  <cp:lastPrinted>2014-12-18T16:50:14Z</cp:lastPrinted>
  <dcterms:created xsi:type="dcterms:W3CDTF">1998-07-30T16:58:25Z</dcterms:created>
  <dcterms:modified xsi:type="dcterms:W3CDTF">2015-09-03T13:23:35Z</dcterms:modified>
</cp:coreProperties>
</file>